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2060" tabRatio="884" activeTab="0"/>
  </bookViews>
  <sheets>
    <sheet name="Summary" sheetId="1" r:id="rId1"/>
    <sheet name="Players" sheetId="2" r:id="rId2"/>
    <sheet name="Barton" sheetId="3" r:id="rId3"/>
    <sheet name="Cadmus" sheetId="4" r:id="rId4"/>
    <sheet name="Chockalingam" sheetId="5" r:id="rId5"/>
    <sheet name="Fernald" sheetId="6" r:id="rId6"/>
    <sheet name="Goter" sheetId="7" r:id="rId7"/>
    <sheet name="Jagot" sheetId="8" r:id="rId8"/>
    <sheet name="Kumar" sheetId="9" r:id="rId9"/>
    <sheet name="Rittenhouse" sheetId="10" r:id="rId10"/>
    <sheet name="Seehusen" sheetId="11" r:id="rId11"/>
    <sheet name="Shepherd" sheetId="12" r:id="rId12"/>
    <sheet name="Welch" sheetId="13" r:id="rId13"/>
    <sheet name="Wilt" sheetId="14" r:id="rId14"/>
    <sheet name="WoodfordB" sheetId="15" r:id="rId15"/>
    <sheet name="WoodfordW" sheetId="16" r:id="rId16"/>
  </sheets>
  <definedNames/>
  <calcPr fullCalcOnLoad="1"/>
</workbook>
</file>

<file path=xl/sharedStrings.xml><?xml version="1.0" encoding="utf-8"?>
<sst xmlns="http://schemas.openxmlformats.org/spreadsheetml/2006/main" count="1272" uniqueCount="366">
  <si>
    <t>HOOPS  TEAM  SALARIES</t>
  </si>
  <si>
    <t>Team</t>
  </si>
  <si>
    <t>Signed</t>
  </si>
  <si>
    <t>Active</t>
  </si>
  <si>
    <t>Waived</t>
  </si>
  <si>
    <t>Exempt</t>
  </si>
  <si>
    <t>Net</t>
  </si>
  <si>
    <t>Tax</t>
  </si>
  <si>
    <t>Total</t>
  </si>
  <si>
    <t>Salary</t>
  </si>
  <si>
    <t>Jim Rittenhouse</t>
  </si>
  <si>
    <t>Mike Fernald</t>
  </si>
  <si>
    <t>Mani Kumar</t>
  </si>
  <si>
    <t>Bill Woodford</t>
  </si>
  <si>
    <t>Dave Cadmus</t>
  </si>
  <si>
    <t>Ben Woodford</t>
  </si>
  <si>
    <t>Summary</t>
  </si>
  <si>
    <t>Year</t>
  </si>
  <si>
    <t>Cap</t>
  </si>
  <si>
    <t>Total Points</t>
  </si>
  <si>
    <t>Fall Tourney</t>
  </si>
  <si>
    <t>Winter Tourney</t>
  </si>
  <si>
    <t>Net Salary</t>
  </si>
  <si>
    <t>1st</t>
  </si>
  <si>
    <t>6th</t>
  </si>
  <si>
    <t>2nd</t>
  </si>
  <si>
    <t>7th</t>
  </si>
  <si>
    <t>Total Salary</t>
  </si>
  <si>
    <t>3rd</t>
  </si>
  <si>
    <t>8th</t>
  </si>
  <si>
    <t>Prize Fund</t>
  </si>
  <si>
    <t>4th</t>
  </si>
  <si>
    <t>9th</t>
  </si>
  <si>
    <t>Carryover</t>
  </si>
  <si>
    <t>5th</t>
  </si>
  <si>
    <t>10th</t>
  </si>
  <si>
    <t>NOTES:</t>
  </si>
  <si>
    <t>ACTIVE ROSTER</t>
  </si>
  <si>
    <t>Player</t>
  </si>
  <si>
    <t>Pos</t>
  </si>
  <si>
    <t>Acqrd</t>
  </si>
  <si>
    <t>Thru</t>
  </si>
  <si>
    <t>FC</t>
  </si>
  <si>
    <t>Atl</t>
  </si>
  <si>
    <t>FA</t>
  </si>
  <si>
    <t>G</t>
  </si>
  <si>
    <t>Det</t>
  </si>
  <si>
    <t>Min</t>
  </si>
  <si>
    <t>PF</t>
  </si>
  <si>
    <t>Ind</t>
  </si>
  <si>
    <t>PG</t>
  </si>
  <si>
    <t>Utah</t>
  </si>
  <si>
    <t>NY</t>
  </si>
  <si>
    <t>SF</t>
  </si>
  <si>
    <t>NO</t>
  </si>
  <si>
    <t>GF</t>
  </si>
  <si>
    <t>Chi</t>
  </si>
  <si>
    <t>SG</t>
  </si>
  <si>
    <t>Den</t>
  </si>
  <si>
    <t>WAIVED PLAYER CONTRACTS</t>
  </si>
  <si>
    <t>Waive</t>
  </si>
  <si>
    <t>C</t>
  </si>
  <si>
    <t>Tor</t>
  </si>
  <si>
    <t>Mia</t>
  </si>
  <si>
    <t>Mil</t>
  </si>
  <si>
    <t>Cle</t>
  </si>
  <si>
    <t>F</t>
  </si>
  <si>
    <t>GS</t>
  </si>
  <si>
    <t>Hou</t>
  </si>
  <si>
    <t>Por</t>
  </si>
  <si>
    <t>Was</t>
  </si>
  <si>
    <t>Bos</t>
  </si>
  <si>
    <t>Cha</t>
  </si>
  <si>
    <t>Dal</t>
  </si>
  <si>
    <t>Mem</t>
  </si>
  <si>
    <t>LAL</t>
  </si>
  <si>
    <t>Pho</t>
  </si>
  <si>
    <t>Sac</t>
  </si>
  <si>
    <t>LAC</t>
  </si>
  <si>
    <t>Phi</t>
  </si>
  <si>
    <t>Orl</t>
  </si>
  <si>
    <t>SA</t>
  </si>
  <si>
    <t>Michael Wilt</t>
  </si>
  <si>
    <t>OKC</t>
  </si>
  <si>
    <t>Points</t>
  </si>
  <si>
    <t>F Tourn</t>
  </si>
  <si>
    <t>W Tourn</t>
  </si>
  <si>
    <t>K Chockalingam</t>
  </si>
  <si>
    <t>Luke Jagot</t>
  </si>
  <si>
    <t>Rob Barton</t>
  </si>
  <si>
    <t>Rondo, Rajon</t>
  </si>
  <si>
    <t>2016-17</t>
  </si>
  <si>
    <t>Durant, Kevin</t>
  </si>
  <si>
    <t>Jordan, DeAndre</t>
  </si>
  <si>
    <t>Stuckey, Rodney</t>
  </si>
  <si>
    <t>Collison, Darren</t>
  </si>
  <si>
    <t>Thomas, Isaiah</t>
  </si>
  <si>
    <t>Davis, Anthony</t>
  </si>
  <si>
    <t>Crowder, Jae</t>
  </si>
  <si>
    <t>Kidd-Gilchrist, Michael</t>
  </si>
  <si>
    <t>Zeller, Tyler</t>
  </si>
  <si>
    <t>Beal, Bradley</t>
  </si>
  <si>
    <t>Nicholson, Andrew</t>
  </si>
  <si>
    <t>Robinson, Thomas</t>
  </si>
  <si>
    <t>Shved, Alexey</t>
  </si>
  <si>
    <t>Leonard, Myers</t>
  </si>
  <si>
    <t>Jones, Terrance</t>
  </si>
  <si>
    <t>Drummond, Andre</t>
  </si>
  <si>
    <t>Henson, John</t>
  </si>
  <si>
    <t>Waiters, Dion</t>
  </si>
  <si>
    <t>Green, Draymond</t>
  </si>
  <si>
    <t>Lamb, Jeremy</t>
  </si>
  <si>
    <t>Sullinger, Jared</t>
  </si>
  <si>
    <t>Harkless, Maurice</t>
  </si>
  <si>
    <t>White, Royce</t>
  </si>
  <si>
    <t>Ross, Terrance</t>
  </si>
  <si>
    <t>Wroten, Troy</t>
  </si>
  <si>
    <t>Williams, Lou</t>
  </si>
  <si>
    <t>Hawes, Spencer</t>
  </si>
  <si>
    <t>Bass, Brandon</t>
  </si>
  <si>
    <t>Lillard, Damien</t>
  </si>
  <si>
    <t>Jones III, Perry</t>
  </si>
  <si>
    <t>Win</t>
  </si>
  <si>
    <t>2017-18</t>
  </si>
  <si>
    <t>Chandler, Tyson</t>
  </si>
  <si>
    <t>Mayo, O.J.</t>
  </si>
  <si>
    <t>Rose, Derrick</t>
  </si>
  <si>
    <t>Parsons, Chandler</t>
  </si>
  <si>
    <t>Hibbert, Roy</t>
  </si>
  <si>
    <t>James, Lebron</t>
  </si>
  <si>
    <t>Batum, Nicholas</t>
  </si>
  <si>
    <t>Gasol, Marc</t>
  </si>
  <si>
    <t>Anthony, Carmelo</t>
  </si>
  <si>
    <t>Griffin, Blake</t>
  </si>
  <si>
    <t>Burke, Trey</t>
  </si>
  <si>
    <t>McLemore, Ben</t>
  </si>
  <si>
    <t>Bennett, Anthony</t>
  </si>
  <si>
    <t>Zeller, Cody</t>
  </si>
  <si>
    <t>Carter-Williams, M</t>
  </si>
  <si>
    <t>Adams, Steven</t>
  </si>
  <si>
    <t>Caldwell-Pope, K</t>
  </si>
  <si>
    <t>Muhammed, Shabazz</t>
  </si>
  <si>
    <t>Goodwin, Archie</t>
  </si>
  <si>
    <t>Bkn</t>
  </si>
  <si>
    <t>Olynyk, Kelly</t>
  </si>
  <si>
    <t>Noel, Nerlens</t>
  </si>
  <si>
    <t>McCollum, C.J.</t>
  </si>
  <si>
    <t>Len, Alex</t>
  </si>
  <si>
    <t>Bledsoe, Eric</t>
  </si>
  <si>
    <t>Westbrook, Russel</t>
  </si>
  <si>
    <t>Love, Kevin</t>
  </si>
  <si>
    <t>Barnes, Harrison</t>
  </si>
  <si>
    <t>Green, Jeff</t>
  </si>
  <si>
    <t>Asik, Omer</t>
  </si>
  <si>
    <t>Wall, John</t>
  </si>
  <si>
    <t>Porter, Otto</t>
  </si>
  <si>
    <t>Schroder, Dennis</t>
  </si>
  <si>
    <t>Faverani, Vitor</t>
  </si>
  <si>
    <t>Murphy, Erik</t>
  </si>
  <si>
    <t>Butler, Jimmy</t>
  </si>
  <si>
    <t>Mike Welch</t>
  </si>
  <si>
    <t>Ben Shepherd</t>
  </si>
  <si>
    <t>2018-19</t>
  </si>
  <si>
    <t>A14</t>
  </si>
  <si>
    <t>Nowitski, Dirk</t>
  </si>
  <si>
    <t>Curry, Stephen</t>
  </si>
  <si>
    <t>Jefferson, Al</t>
  </si>
  <si>
    <t>Parker, Jabari</t>
  </si>
  <si>
    <t>R14</t>
  </si>
  <si>
    <t>Wiggins, Andrew</t>
  </si>
  <si>
    <t>Randle, Julius</t>
  </si>
  <si>
    <t>Smart, Marcus</t>
  </si>
  <si>
    <t>Gordon, Aaron</t>
  </si>
  <si>
    <t>Payton, Elfrid</t>
  </si>
  <si>
    <t>Paul, Chris</t>
  </si>
  <si>
    <t>Embiid, Joel</t>
  </si>
  <si>
    <t>Howard, Dwight</t>
  </si>
  <si>
    <t>Harden, James</t>
  </si>
  <si>
    <t>Gay, Rudy</t>
  </si>
  <si>
    <t>Exum, Dante</t>
  </si>
  <si>
    <t>LaVine, Zach</t>
  </si>
  <si>
    <t>Ariza, Trevor</t>
  </si>
  <si>
    <t>Holiday, Jrue</t>
  </si>
  <si>
    <t>Rubio, Ricky</t>
  </si>
  <si>
    <t>ACTIVE ROSTER BREAKDOWN</t>
  </si>
  <si>
    <t>Players</t>
  </si>
  <si>
    <t>Average</t>
  </si>
  <si>
    <t>Kannan Chockalingam</t>
  </si>
  <si>
    <t>Eligible</t>
  </si>
  <si>
    <t>n/a</t>
  </si>
  <si>
    <t>Derozan, Dermar</t>
  </si>
  <si>
    <t>Mirotic, Nikola</t>
  </si>
  <si>
    <t>Anderson, Kyle</t>
  </si>
  <si>
    <t>McDermott, Doug</t>
  </si>
  <si>
    <t>Napier, Shabazz</t>
  </si>
  <si>
    <t>Warren, T.J.</t>
  </si>
  <si>
    <t>Hood, Rodney</t>
  </si>
  <si>
    <t>Nurkic, Jusuf</t>
  </si>
  <si>
    <t>McDaniels, K.J.</t>
  </si>
  <si>
    <t>R13</t>
  </si>
  <si>
    <t>R12</t>
  </si>
  <si>
    <t>A12</t>
  </si>
  <si>
    <t>Bosh, Chris</t>
  </si>
  <si>
    <t>Evans, Tyreke</t>
  </si>
  <si>
    <t>Teague, Jeff</t>
  </si>
  <si>
    <t>Stauskas, Nik</t>
  </si>
  <si>
    <t>Ennis, James</t>
  </si>
  <si>
    <t>Hairston, P.J.</t>
  </si>
  <si>
    <t>Gibson, Taj</t>
  </si>
  <si>
    <t>Johnson, Joe</t>
  </si>
  <si>
    <t>Matthews, Wesley</t>
  </si>
  <si>
    <t>Jackson, Reggie</t>
  </si>
  <si>
    <t>Johnson, Amir</t>
  </si>
  <si>
    <t>McGary, Mitch</t>
  </si>
  <si>
    <t>Payne, Adreian</t>
  </si>
  <si>
    <t>Young, James</t>
  </si>
  <si>
    <t>Bogdanovic. Bojan</t>
  </si>
  <si>
    <t>2019-20</t>
  </si>
  <si>
    <t>Aaron Seehusen</t>
  </si>
  <si>
    <t>Phillip Goter</t>
  </si>
  <si>
    <t>Towns, Karl-Anthony</t>
  </si>
  <si>
    <t>R15</t>
  </si>
  <si>
    <t>Winslow, Justise</t>
  </si>
  <si>
    <t>Okafor, Jahlil</t>
  </si>
  <si>
    <t>Lyles, Trey</t>
  </si>
  <si>
    <t>Mudiay, Emmanuel</t>
  </si>
  <si>
    <t>Bjelica, Nemanja</t>
  </si>
  <si>
    <t>Vaughn, Rashad</t>
  </si>
  <si>
    <t>Porzingis, Kristaps</t>
  </si>
  <si>
    <t>Hunter, R.J.</t>
  </si>
  <si>
    <t>Russell, D'Angelo</t>
  </si>
  <si>
    <t>Anderson, Justin</t>
  </si>
  <si>
    <t>Johnson, Stanley</t>
  </si>
  <si>
    <t>Turner, Myles</t>
  </si>
  <si>
    <t>Cauley-Stein, Willie</t>
  </si>
  <si>
    <t>Hezonja, Mario</t>
  </si>
  <si>
    <t>Portis, Bobby</t>
  </si>
  <si>
    <t>Jokic, Nikola</t>
  </si>
  <si>
    <t>Grant, Jerian</t>
  </si>
  <si>
    <t>Booker, Devin</t>
  </si>
  <si>
    <t>Kaminsky, Frank</t>
  </si>
  <si>
    <t>Oubre, Kelly</t>
  </si>
  <si>
    <t>A15</t>
  </si>
  <si>
    <t>Dragic, Goran</t>
  </si>
  <si>
    <t>Gallinari, Danilo</t>
  </si>
  <si>
    <t>Ellis, Monta</t>
  </si>
  <si>
    <t>Covington, Robert</t>
  </si>
  <si>
    <t>Cousins, Demarcus</t>
  </si>
  <si>
    <t>Gasol, Pau</t>
  </si>
  <si>
    <t>Clarkson, Jordan</t>
  </si>
  <si>
    <t>Conley, Mike</t>
  </si>
  <si>
    <t>George, Paul</t>
  </si>
  <si>
    <t>Ibaka, Serge</t>
  </si>
  <si>
    <t>Young, Joe</t>
  </si>
  <si>
    <t>Payne, Cameron</t>
  </si>
  <si>
    <t>Lawson, Ty</t>
  </si>
  <si>
    <t>Williams, Deron</t>
  </si>
  <si>
    <t>Capela, Clint</t>
  </si>
  <si>
    <t>Whiteside, Hassan</t>
  </si>
  <si>
    <t>Ilysova, Ersan</t>
  </si>
  <si>
    <t>Monroe, Greg</t>
  </si>
  <si>
    <t>Vonleh, Noah</t>
  </si>
  <si>
    <t>Carroll, Demarr</t>
  </si>
  <si>
    <t>Chandler, Wilson</t>
  </si>
  <si>
    <t>Dieng, Gorgui</t>
  </si>
  <si>
    <t>Hill, George</t>
  </si>
  <si>
    <t>Aminu, Al-Farouq</t>
  </si>
  <si>
    <t>Middleton, Khris</t>
  </si>
  <si>
    <t>2020-21</t>
  </si>
  <si>
    <t>Simmons, Ben</t>
  </si>
  <si>
    <t>Ingram, Brandon</t>
  </si>
  <si>
    <t>R16</t>
  </si>
  <si>
    <t>Hield, Buddy</t>
  </si>
  <si>
    <t>Dunn, Kris</t>
  </si>
  <si>
    <t>Murray, Jamal</t>
  </si>
  <si>
    <t>Bender, Dragan</t>
  </si>
  <si>
    <t>Saric, Dario</t>
  </si>
  <si>
    <t>Brown, Jaylen</t>
  </si>
  <si>
    <t>A13</t>
  </si>
  <si>
    <t>Chriss, Marquese</t>
  </si>
  <si>
    <t>Valentine, Denzel</t>
  </si>
  <si>
    <t>Sabonis, Donatas</t>
  </si>
  <si>
    <t>Hernangomez, Juan</t>
  </si>
  <si>
    <t>Maker, Thon</t>
  </si>
  <si>
    <t>Baldwin, Wade</t>
  </si>
  <si>
    <t>Labassiere, Skal</t>
  </si>
  <si>
    <t>Poeltl, Jakob</t>
  </si>
  <si>
    <t>Ellenson, Henry</t>
  </si>
  <si>
    <t>McCaw, Patrick</t>
  </si>
  <si>
    <t>Abrines, Alex</t>
  </si>
  <si>
    <t>Zubac, Ivica</t>
  </si>
  <si>
    <t>Prince, Taurean</t>
  </si>
  <si>
    <t>Davis, Deyonta</t>
  </si>
  <si>
    <t>Antetokoumnpo, G</t>
  </si>
  <si>
    <t>Aaron Seehusan</t>
  </si>
  <si>
    <t>Siakam, Pascal</t>
  </si>
  <si>
    <t>Irving, Kyrie</t>
  </si>
  <si>
    <t>A16</t>
  </si>
  <si>
    <t>Anderson, Ryan</t>
  </si>
  <si>
    <t>Thompson, Klay</t>
  </si>
  <si>
    <t>Gobert, Rudy</t>
  </si>
  <si>
    <t>Uta</t>
  </si>
  <si>
    <t>Harris, Tobias</t>
  </si>
  <si>
    <t>Kanter, Enes</t>
  </si>
  <si>
    <t>Horford, Al</t>
  </si>
  <si>
    <t>Favors, Derrick</t>
  </si>
  <si>
    <t>Bradley, Avery</t>
  </si>
  <si>
    <t>Barton, Will</t>
  </si>
  <si>
    <t>Wade, Dwyane</t>
  </si>
  <si>
    <t>Bazemore, Kent</t>
  </si>
  <si>
    <t>Lowry, Kyle</t>
  </si>
  <si>
    <t>Aldridge, LaMarcus</t>
  </si>
  <si>
    <t>Randolph, Zach</t>
  </si>
  <si>
    <t>Leonard, Kwahi</t>
  </si>
  <si>
    <t>Gortat, Marcin</t>
  </si>
  <si>
    <t>Young, Thaddeus</t>
  </si>
  <si>
    <t>Hayward, Gordon</t>
  </si>
  <si>
    <t>Knight, Brandon</t>
  </si>
  <si>
    <t>Fournier, Evan</t>
  </si>
  <si>
    <t>Turner, Evan</t>
  </si>
  <si>
    <t>Lopez, Brook</t>
  </si>
  <si>
    <t>Bro</t>
  </si>
  <si>
    <t>Thompson, Tristan</t>
  </si>
  <si>
    <t>Oladipo, Victor</t>
  </si>
  <si>
    <t>Faried, Kenneth</t>
  </si>
  <si>
    <t>Milsap, Paul</t>
  </si>
  <si>
    <t>Walker, Kemba</t>
  </si>
  <si>
    <t>Harris, Gary</t>
  </si>
  <si>
    <t>Valanciunas, Jonas</t>
  </si>
  <si>
    <t>Korver, Kyle</t>
  </si>
  <si>
    <t>Noah, Joakim</t>
  </si>
  <si>
    <t>Vucevic, Nikola</t>
  </si>
  <si>
    <t>Hollis-Jefferson, Rondae</t>
  </si>
  <si>
    <t>Morris, Markieff</t>
  </si>
  <si>
    <t>Biyombo, Bismack</t>
  </si>
  <si>
    <t>Frazier, Tim</t>
  </si>
  <si>
    <t>FA16</t>
  </si>
  <si>
    <t>Ferrell, Yogi</t>
  </si>
  <si>
    <t>Booker, Trevor</t>
  </si>
  <si>
    <t>Bkl</t>
  </si>
  <si>
    <t>Richardson, Josh</t>
  </si>
  <si>
    <t>Hernangomez, Willy</t>
  </si>
  <si>
    <t>Brogdon, Malcolm</t>
  </si>
  <si>
    <t>Nogueira, Lucas</t>
  </si>
  <si>
    <t>Felton, Raymond</t>
  </si>
  <si>
    <t>Johnson, James</t>
  </si>
  <si>
    <t>Lin, Jeremy</t>
  </si>
  <si>
    <t>Smith, Ish</t>
  </si>
  <si>
    <t>Lopez, Robin</t>
  </si>
  <si>
    <t>Gordon, Eric</t>
  </si>
  <si>
    <t>Redick, J.J.</t>
  </si>
  <si>
    <t>Leurer, Jon</t>
  </si>
  <si>
    <t>Hardaway, Tim</t>
  </si>
  <si>
    <t>Williams, Marvin</t>
  </si>
  <si>
    <t>Morris, Marcus</t>
  </si>
  <si>
    <t>Plumlee, Mason</t>
  </si>
  <si>
    <t>Curry, Seth</t>
  </si>
  <si>
    <t>Williams, Alan</t>
  </si>
  <si>
    <t>Carroll, DeMarre</t>
  </si>
  <si>
    <t>Ross, Terrence</t>
  </si>
  <si>
    <t>Ulis, Tyler</t>
  </si>
  <si>
    <t>Kilpatrick, Sean</t>
  </si>
  <si>
    <t>Johnson, Tyler</t>
  </si>
  <si>
    <t>Speights, Marreese</t>
  </si>
  <si>
    <t>Beverly, Patrick</t>
  </si>
  <si>
    <t>Updated  April 16, 2017 at 1 PM 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</si>
</sst>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53"/>
      <name val="Bookman Old Style"/>
      <family val="1"/>
    </font>
    <font>
      <sz val="10"/>
      <color indexed="10"/>
      <name val="Arial"/>
      <family val="2"/>
    </font>
    <font>
      <b/>
      <sz val="8"/>
      <color indexed="63"/>
      <name val="Times New Roman"/>
      <family val="1"/>
    </font>
    <font>
      <sz val="12"/>
      <name val="Arial"/>
      <family val="2"/>
    </font>
    <font>
      <b/>
      <sz val="12"/>
      <color indexed="56"/>
      <name val="Bookman Old Style"/>
      <family val="1"/>
    </font>
    <font>
      <b/>
      <sz val="12"/>
      <name val="Arial"/>
      <family val="2"/>
    </font>
    <font>
      <b/>
      <sz val="12"/>
      <color indexed="10"/>
      <name val="Copperplate Gothic Bold"/>
      <family val="2"/>
    </font>
    <font>
      <b/>
      <sz val="12"/>
      <color indexed="12"/>
      <name val="Copperplate Gothic Bold"/>
      <family val="2"/>
    </font>
    <font>
      <sz val="11"/>
      <name val="Arial"/>
      <family val="2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color indexed="53"/>
      <name val="Bookman Old Style"/>
      <family val="1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7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color indexed="56"/>
      <name val="Bookman Old Style"/>
      <family val="1"/>
    </font>
    <font>
      <b/>
      <sz val="12"/>
      <color indexed="56"/>
      <name val="Arial"/>
      <family val="2"/>
    </font>
    <font>
      <sz val="14"/>
      <color indexed="56"/>
      <name val="Calibri"/>
      <family val="2"/>
    </font>
    <font>
      <b/>
      <sz val="10"/>
      <color indexed="56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Bookman Old Style"/>
      <family val="1"/>
    </font>
    <font>
      <b/>
      <sz val="12"/>
      <color theme="3"/>
      <name val="Arial"/>
      <family val="2"/>
    </font>
    <font>
      <b/>
      <sz val="12"/>
      <color theme="3"/>
      <name val="Bookman Old Style"/>
      <family val="1"/>
    </font>
    <font>
      <sz val="14"/>
      <color theme="3"/>
      <name val="Calibri"/>
      <family val="2"/>
    </font>
    <font>
      <b/>
      <sz val="10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43" fontId="0" fillId="0" borderId="0" xfId="0" applyNumberFormat="1" applyAlignment="1">
      <alignment/>
    </xf>
    <xf numFmtId="43" fontId="13" fillId="0" borderId="0" xfId="42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4" fontId="16" fillId="0" borderId="0" xfId="44" applyFont="1" applyAlignment="1" applyProtection="1">
      <alignment/>
      <protection/>
    </xf>
    <xf numFmtId="44" fontId="16" fillId="0" borderId="0" xfId="44" applyFont="1" applyBorder="1" applyAlignment="1" applyProtection="1">
      <alignment/>
      <protection locked="0"/>
    </xf>
    <xf numFmtId="0" fontId="0" fillId="0" borderId="0" xfId="44" applyNumberFormat="1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3" fontId="12" fillId="0" borderId="0" xfId="42" applyFont="1" applyFill="1" applyAlignment="1">
      <alignment/>
    </xf>
    <xf numFmtId="0" fontId="10" fillId="0" borderId="0" xfId="0" applyFont="1" applyFill="1" applyBorder="1" applyAlignment="1">
      <alignment/>
    </xf>
    <xf numFmtId="43" fontId="14" fillId="0" borderId="0" xfId="42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7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/>
    </xf>
    <xf numFmtId="164" fontId="39" fillId="0" borderId="0" xfId="42" applyNumberFormat="1" applyFont="1" applyAlignment="1">
      <alignment/>
    </xf>
    <xf numFmtId="43" fontId="39" fillId="0" borderId="0" xfId="42" applyFont="1" applyAlignment="1">
      <alignment/>
    </xf>
    <xf numFmtId="43" fontId="45" fillId="0" borderId="0" xfId="42" applyFont="1" applyAlignment="1">
      <alignment/>
    </xf>
    <xf numFmtId="43" fontId="39" fillId="0" borderId="0" xfId="42" applyFont="1" applyAlignment="1">
      <alignment horizontal="center"/>
    </xf>
    <xf numFmtId="0" fontId="47" fillId="0" borderId="0" xfId="0" applyFont="1" applyAlignment="1">
      <alignment horizontal="right"/>
    </xf>
    <xf numFmtId="164" fontId="39" fillId="0" borderId="0" xfId="0" applyNumberFormat="1" applyFont="1" applyAlignment="1">
      <alignment/>
    </xf>
    <xf numFmtId="43" fontId="39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0" fillId="0" borderId="0" xfId="44" applyNumberFormat="1" applyFont="1" applyFill="1" applyAlignment="1" applyProtection="1">
      <alignment horizontal="center"/>
      <protection/>
    </xf>
    <xf numFmtId="0" fontId="0" fillId="0" borderId="0" xfId="42" applyNumberFormat="1" applyFont="1" applyFill="1" applyAlignment="1" applyProtection="1">
      <alignment horizontal="center"/>
      <protection/>
    </xf>
    <xf numFmtId="0" fontId="0" fillId="0" borderId="0" xfId="42" applyNumberFormat="1" applyFont="1" applyFill="1" applyAlignment="1" applyProtection="1">
      <alignment horizontal="center"/>
      <protection/>
    </xf>
    <xf numFmtId="0" fontId="46" fillId="0" borderId="0" xfId="0" applyFont="1" applyAlignment="1">
      <alignment horizontal="center"/>
    </xf>
    <xf numFmtId="164" fontId="45" fillId="0" borderId="0" xfId="42" applyNumberFormat="1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44" applyFont="1" applyAlignment="1">
      <alignment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64" fontId="45" fillId="0" borderId="10" xfId="42" applyNumberFormat="1" applyFont="1" applyBorder="1" applyAlignment="1">
      <alignment/>
    </xf>
    <xf numFmtId="43" fontId="45" fillId="0" borderId="10" xfId="42" applyFont="1" applyBorder="1" applyAlignment="1">
      <alignment/>
    </xf>
    <xf numFmtId="43" fontId="45" fillId="0" borderId="10" xfId="0" applyNumberFormat="1" applyFont="1" applyBorder="1" applyAlignment="1">
      <alignment/>
    </xf>
    <xf numFmtId="44" fontId="46" fillId="0" borderId="0" xfId="44" applyFont="1" applyAlignment="1">
      <alignment horizontal="center"/>
    </xf>
    <xf numFmtId="0" fontId="48" fillId="0" borderId="0" xfId="0" applyFont="1" applyAlignment="1">
      <alignment/>
    </xf>
    <xf numFmtId="44" fontId="48" fillId="0" borderId="0" xfId="44" applyFont="1" applyAlignment="1">
      <alignment/>
    </xf>
    <xf numFmtId="0" fontId="48" fillId="0" borderId="0" xfId="0" applyFont="1" applyAlignment="1">
      <alignment horizontal="center"/>
    </xf>
    <xf numFmtId="0" fontId="71" fillId="33" borderId="0" xfId="0" applyFont="1" applyFill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Fill="1" applyAlignment="1">
      <alignment horizontal="center"/>
    </xf>
    <xf numFmtId="0" fontId="74" fillId="34" borderId="0" xfId="0" applyFont="1" applyFill="1" applyAlignment="1">
      <alignment/>
    </xf>
    <xf numFmtId="0" fontId="39" fillId="0" borderId="0" xfId="0" applyFont="1" applyAlignment="1">
      <alignment horizontal="center"/>
    </xf>
    <xf numFmtId="0" fontId="75" fillId="33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43" fontId="47" fillId="0" borderId="0" xfId="0" applyNumberFormat="1" applyFont="1" applyAlignment="1">
      <alignment horizontal="center"/>
    </xf>
    <xf numFmtId="0" fontId="42" fillId="0" borderId="0" xfId="0" applyFont="1" applyAlignment="1">
      <alignment horizontal="right"/>
    </xf>
    <xf numFmtId="0" fontId="73" fillId="33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44" fontId="46" fillId="0" borderId="0" xfId="44" applyFont="1" applyBorder="1" applyAlignment="1">
      <alignment horizontal="center"/>
    </xf>
    <xf numFmtId="43" fontId="13" fillId="0" borderId="11" xfId="42" applyFont="1" applyBorder="1" applyAlignment="1">
      <alignment horizontal="center"/>
    </xf>
    <xf numFmtId="43" fontId="47" fillId="0" borderId="0" xfId="42" applyFont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17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17.7109375" style="0" customWidth="1"/>
    <col min="2" max="2" width="3.7109375" style="0" customWidth="1"/>
    <col min="3" max="3" width="6.7109375" style="0" customWidth="1"/>
    <col min="4" max="8" width="7.7109375" style="0" customWidth="1"/>
    <col min="9" max="9" width="8.7109375" style="0" customWidth="1"/>
    <col min="10" max="10" width="1.7109375" style="0" customWidth="1"/>
    <col min="11" max="11" width="6.7109375" style="0" customWidth="1"/>
    <col min="12" max="12" width="7.7109375" style="0" customWidth="1"/>
    <col min="13" max="13" width="1.7109375" style="0" customWidth="1"/>
    <col min="14" max="14" width="6.7109375" style="0" customWidth="1"/>
    <col min="15" max="15" width="7.7109375" style="0" customWidth="1"/>
    <col min="16" max="16" width="1.7109375" style="0" customWidth="1"/>
    <col min="17" max="17" width="6.7109375" style="0" customWidth="1"/>
    <col min="18" max="18" width="7.7109375" style="0" customWidth="1"/>
    <col min="19" max="19" width="1.7109375" style="0" customWidth="1"/>
    <col min="20" max="20" width="6.7109375" style="0" customWidth="1"/>
    <col min="21" max="21" width="7.7109375" style="0" customWidth="1"/>
    <col min="22" max="22" width="2.7109375" style="34" customWidth="1"/>
    <col min="23" max="25" width="8.7109375" style="88" customWidth="1"/>
    <col min="26" max="27" width="9.140625" style="50" customWidth="1"/>
  </cols>
  <sheetData>
    <row r="1" spans="1:22" ht="18">
      <c r="A1" s="84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01" t="s">
        <v>365</v>
      </c>
      <c r="R1" s="101"/>
      <c r="S1" s="101"/>
      <c r="T1" s="101"/>
      <c r="U1" s="101"/>
      <c r="V1" s="33"/>
    </row>
    <row r="2" ht="7.5" customHeight="1"/>
    <row r="3" spans="3:27" s="3" customFormat="1" ht="15" customHeight="1">
      <c r="C3" s="95" t="s">
        <v>91</v>
      </c>
      <c r="D3" s="95"/>
      <c r="E3" s="95"/>
      <c r="F3" s="95"/>
      <c r="G3" s="95"/>
      <c r="H3" s="95"/>
      <c r="I3" s="95"/>
      <c r="J3" s="85"/>
      <c r="K3" s="95" t="s">
        <v>123</v>
      </c>
      <c r="L3" s="95"/>
      <c r="M3" s="85"/>
      <c r="N3" s="95" t="s">
        <v>162</v>
      </c>
      <c r="O3" s="95"/>
      <c r="P3" s="85"/>
      <c r="Q3" s="95" t="s">
        <v>217</v>
      </c>
      <c r="R3" s="95"/>
      <c r="S3" s="85"/>
      <c r="T3" s="95" t="s">
        <v>268</v>
      </c>
      <c r="U3" s="95"/>
      <c r="V3" s="86"/>
      <c r="W3" s="89" t="s">
        <v>84</v>
      </c>
      <c r="X3" s="89" t="s">
        <v>85</v>
      </c>
      <c r="Y3" s="89" t="s">
        <v>86</v>
      </c>
      <c r="Z3" s="89" t="s">
        <v>122</v>
      </c>
      <c r="AA3" s="51"/>
    </row>
    <row r="4" spans="3:27" s="3" customFormat="1" ht="7.5" customHeight="1">
      <c r="C4" s="5"/>
      <c r="D4" s="5"/>
      <c r="E4" s="5"/>
      <c r="F4" s="5"/>
      <c r="G4" s="5"/>
      <c r="H4" s="5"/>
      <c r="I4" s="5"/>
      <c r="J4" s="4"/>
      <c r="K4" s="6"/>
      <c r="L4" s="6"/>
      <c r="M4" s="4"/>
      <c r="N4" s="5"/>
      <c r="O4" s="5"/>
      <c r="P4" s="4"/>
      <c r="Q4" s="6"/>
      <c r="R4" s="6"/>
      <c r="S4" s="4"/>
      <c r="T4" s="5"/>
      <c r="U4" s="5"/>
      <c r="V4" s="35"/>
      <c r="W4" s="90"/>
      <c r="X4" s="90"/>
      <c r="Y4" s="90"/>
      <c r="Z4" s="51"/>
      <c r="AA4" s="51"/>
    </row>
    <row r="5" spans="1:27" s="7" customFormat="1" ht="15">
      <c r="A5" s="55" t="s">
        <v>1</v>
      </c>
      <c r="B5" s="56"/>
      <c r="C5" s="71" t="s">
        <v>2</v>
      </c>
      <c r="D5" s="71" t="s">
        <v>3</v>
      </c>
      <c r="E5" s="71" t="s">
        <v>4</v>
      </c>
      <c r="F5" s="71" t="s">
        <v>5</v>
      </c>
      <c r="G5" s="71" t="s">
        <v>6</v>
      </c>
      <c r="H5" s="71" t="s">
        <v>7</v>
      </c>
      <c r="I5" s="71" t="s">
        <v>8</v>
      </c>
      <c r="J5" s="58"/>
      <c r="K5" s="71" t="s">
        <v>2</v>
      </c>
      <c r="L5" s="71" t="s">
        <v>9</v>
      </c>
      <c r="M5" s="58"/>
      <c r="N5" s="71" t="s">
        <v>2</v>
      </c>
      <c r="O5" s="71" t="s">
        <v>9</v>
      </c>
      <c r="P5" s="58"/>
      <c r="Q5" s="71" t="s">
        <v>2</v>
      </c>
      <c r="R5" s="71" t="s">
        <v>9</v>
      </c>
      <c r="S5" s="58"/>
      <c r="T5" s="71" t="s">
        <v>2</v>
      </c>
      <c r="U5" s="71" t="s">
        <v>9</v>
      </c>
      <c r="V5" s="36"/>
      <c r="W5" s="91"/>
      <c r="X5" s="91"/>
      <c r="Y5" s="91"/>
      <c r="Z5" s="56"/>
      <c r="AA5" s="56"/>
    </row>
    <row r="6" spans="1:27" s="3" customFormat="1" ht="7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37"/>
      <c r="W6" s="90"/>
      <c r="X6" s="90"/>
      <c r="Y6" s="90"/>
      <c r="Z6" s="51"/>
      <c r="AA6" s="51"/>
    </row>
    <row r="7" spans="1:27" s="7" customFormat="1" ht="15" customHeight="1">
      <c r="A7" s="59" t="s">
        <v>13</v>
      </c>
      <c r="B7" s="56"/>
      <c r="C7" s="72">
        <f>+COUNTIF(WoodfordW!$I$5:$I$18,"&gt;0")</f>
        <v>14</v>
      </c>
      <c r="D7" s="62">
        <f>+WoodfordW!I20</f>
        <v>199.45</v>
      </c>
      <c r="E7" s="62">
        <f>+WoodfordW!I35</f>
        <v>2.3</v>
      </c>
      <c r="F7" s="62">
        <v>-2.6</v>
      </c>
      <c r="G7" s="62">
        <f aca="true" t="shared" si="0" ref="G7:G20">+SUM(D7:F7)</f>
        <v>199.15</v>
      </c>
      <c r="H7" s="62">
        <f aca="true" t="shared" si="1" ref="H7:H20">+CEILING(IF(G7&gt;($G$25*1.2),(9*(G7-1.2*$G$25)+$G$25*0.5),IF(G7&gt;($G$25*1.1),(4*(G7-1.1*$G$25)+$G$25*0.1),IF(G7&gt;$G$25,G7-$G$25,0))),0.05)</f>
        <v>65.60000000000001</v>
      </c>
      <c r="I7" s="73">
        <f aca="true" t="shared" si="2" ref="I7:I20">+G7+H7</f>
        <v>264.75</v>
      </c>
      <c r="J7" s="56"/>
      <c r="K7" s="72">
        <f>+COUNTIF(WoodfordW!$J$5:$J$18,"&gt;0")</f>
        <v>9</v>
      </c>
      <c r="L7" s="62">
        <f>+WoodfordW!$J$20</f>
        <v>117.3</v>
      </c>
      <c r="M7" s="56"/>
      <c r="N7" s="72">
        <f>+COUNTIF(WoodfordW!$K$5:$K$18,"&gt;0")</f>
        <v>6</v>
      </c>
      <c r="O7" s="62">
        <f>+WoodfordW!$K$20</f>
        <v>52.699999999999996</v>
      </c>
      <c r="P7" s="56"/>
      <c r="Q7" s="72">
        <f>+COUNTIF(WoodfordW!$L$5:$L$18,"&gt;0")</f>
        <v>2</v>
      </c>
      <c r="R7" s="62">
        <f>+WoodfordW!$L$20</f>
        <v>7</v>
      </c>
      <c r="S7" s="56"/>
      <c r="T7" s="72">
        <f>+COUNTIF(WoodfordW!$M$5:$M$18,"&gt;0")</f>
        <v>1</v>
      </c>
      <c r="U7" s="62">
        <f>+WoodfordW!$M$20</f>
        <v>3.4</v>
      </c>
      <c r="V7" s="38"/>
      <c r="W7" s="92">
        <v>5</v>
      </c>
      <c r="X7" s="92">
        <v>2</v>
      </c>
      <c r="Y7" s="92"/>
      <c r="Z7" s="62">
        <f>L29+R27</f>
        <v>288</v>
      </c>
      <c r="AA7" s="56"/>
    </row>
    <row r="8" spans="1:27" s="7" customFormat="1" ht="15" customHeight="1">
      <c r="A8" s="59" t="s">
        <v>11</v>
      </c>
      <c r="B8" s="56"/>
      <c r="C8" s="72">
        <f>+COUNTIF(Fernald!$I$5:$I$18,"&gt;0")</f>
        <v>14</v>
      </c>
      <c r="D8" s="62">
        <f>+Fernald!I20</f>
        <v>192.20000000000005</v>
      </c>
      <c r="E8" s="62">
        <f>+Fernald!I37</f>
        <v>19.25</v>
      </c>
      <c r="F8" s="62">
        <v>-13.6</v>
      </c>
      <c r="G8" s="62">
        <f t="shared" si="0"/>
        <v>197.85000000000005</v>
      </c>
      <c r="H8" s="62">
        <f t="shared" si="1"/>
        <v>60.400000000000006</v>
      </c>
      <c r="I8" s="73">
        <f t="shared" si="2"/>
        <v>258.25000000000006</v>
      </c>
      <c r="J8" s="56"/>
      <c r="K8" s="72">
        <f>+COUNTIF(Fernald!$J$5:$J$18,"&gt;0")</f>
        <v>5</v>
      </c>
      <c r="L8" s="62">
        <f>+Fernald!J20</f>
        <v>98.85</v>
      </c>
      <c r="M8" s="56"/>
      <c r="N8" s="72">
        <f>+COUNTIF(Fernald!$K$5:$K$18,"&gt;0")</f>
        <v>4</v>
      </c>
      <c r="O8" s="62">
        <f>+Fernald!$K$20</f>
        <v>96.05</v>
      </c>
      <c r="P8" s="56"/>
      <c r="Q8" s="72">
        <f>+COUNTIF(Fernald!$L$5:$L$18,"&gt;0")</f>
        <v>2</v>
      </c>
      <c r="R8" s="62">
        <f>+Fernald!$L$20</f>
        <v>26.4</v>
      </c>
      <c r="S8" s="56"/>
      <c r="T8" s="72">
        <f>+COUNTIF(Fernald!$M$5:$M$18,"&gt;0")</f>
        <v>1</v>
      </c>
      <c r="U8" s="62">
        <f>+Fernald!$M$20</f>
        <v>13.6</v>
      </c>
      <c r="V8" s="38"/>
      <c r="W8" s="92">
        <v>1</v>
      </c>
      <c r="X8" s="92">
        <v>1</v>
      </c>
      <c r="Y8" s="92">
        <v>3</v>
      </c>
      <c r="Z8" s="62">
        <f>L25+R26+U28</f>
        <v>761</v>
      </c>
      <c r="AA8" s="56"/>
    </row>
    <row r="9" spans="1:27" s="7" customFormat="1" ht="15" customHeight="1">
      <c r="A9" s="59" t="s">
        <v>14</v>
      </c>
      <c r="B9" s="56"/>
      <c r="C9" s="72">
        <f>+COUNTIF(Cadmus!$I$5:$I$18,"&gt;0")</f>
        <v>14</v>
      </c>
      <c r="D9" s="62">
        <f>+Cadmus!I20</f>
        <v>153.75000000000003</v>
      </c>
      <c r="E9" s="62">
        <f>+Cadmus!I37</f>
        <v>42.400000000000006</v>
      </c>
      <c r="F9" s="62">
        <v>0</v>
      </c>
      <c r="G9" s="62">
        <f t="shared" si="0"/>
        <v>196.15000000000003</v>
      </c>
      <c r="H9" s="62">
        <f t="shared" si="1"/>
        <v>53.6</v>
      </c>
      <c r="I9" s="73">
        <f t="shared" si="2"/>
        <v>249.75000000000003</v>
      </c>
      <c r="J9" s="56"/>
      <c r="K9" s="72">
        <f>+COUNTIF(Cadmus!$J$5:$J$18,"&gt;0")</f>
        <v>9</v>
      </c>
      <c r="L9" s="62">
        <f>+Cadmus!$J$20</f>
        <v>136.3</v>
      </c>
      <c r="M9" s="56"/>
      <c r="N9" s="72">
        <f>+COUNTIF(Cadmus!$K$5:$K$18,"&gt;0")</f>
        <v>5</v>
      </c>
      <c r="O9" s="62">
        <f>+Cadmus!$K$20</f>
        <v>60.5</v>
      </c>
      <c r="P9" s="56"/>
      <c r="Q9" s="72">
        <f>+COUNTIF(Cadmus!$L$5:$L$18,"&gt;0")</f>
        <v>3</v>
      </c>
      <c r="R9" s="62">
        <f>+Cadmus!$L$20</f>
        <v>16.75</v>
      </c>
      <c r="S9" s="56"/>
      <c r="T9" s="72">
        <f>+COUNTIF(Cadmus!$M$5:$M$18,"&gt;0")</f>
        <v>2</v>
      </c>
      <c r="U9" s="62">
        <f>+Cadmus!$M$20</f>
        <v>12.75</v>
      </c>
      <c r="V9" s="38"/>
      <c r="W9" s="92">
        <v>8</v>
      </c>
      <c r="X9" s="92"/>
      <c r="Y9" s="92"/>
      <c r="Z9" s="62">
        <f>O27</f>
        <v>67</v>
      </c>
      <c r="AA9" s="56"/>
    </row>
    <row r="10" spans="1:27" s="7" customFormat="1" ht="15" customHeight="1">
      <c r="A10" s="59" t="s">
        <v>82</v>
      </c>
      <c r="B10" s="56"/>
      <c r="C10" s="72">
        <f>+COUNTIF(Wilt!$I$5:$I$18,"&gt;0")</f>
        <v>14</v>
      </c>
      <c r="D10" s="62">
        <f>+Wilt!I20</f>
        <v>185.04999999999998</v>
      </c>
      <c r="E10" s="62">
        <f>+Wilt!I41</f>
        <v>0.9</v>
      </c>
      <c r="F10" s="62">
        <v>0</v>
      </c>
      <c r="G10" s="62">
        <f t="shared" si="0"/>
        <v>185.95</v>
      </c>
      <c r="H10" s="62">
        <f t="shared" si="1"/>
        <v>15.950000000000001</v>
      </c>
      <c r="I10" s="73">
        <f t="shared" si="2"/>
        <v>201.89999999999998</v>
      </c>
      <c r="J10" s="56"/>
      <c r="K10" s="72">
        <f>+COUNTIF(Wilt!$J$5:$J$18,"&gt;0")</f>
        <v>10</v>
      </c>
      <c r="L10" s="62">
        <f>+Wilt!$J$20</f>
        <v>166.25</v>
      </c>
      <c r="M10" s="56"/>
      <c r="N10" s="72">
        <f>+COUNTIF(Wilt!$K$5:$K$18,"&gt;0")</f>
        <v>8</v>
      </c>
      <c r="O10" s="62">
        <f>+Wilt!$K$20</f>
        <v>98.45</v>
      </c>
      <c r="P10" s="56"/>
      <c r="Q10" s="72">
        <f>+COUNTIF(Wilt!$L$5:$L$18,"&gt;0")</f>
        <v>5</v>
      </c>
      <c r="R10" s="62">
        <f>+Wilt!$L$20</f>
        <v>67.2</v>
      </c>
      <c r="S10" s="56"/>
      <c r="T10" s="72">
        <f>+COUNTIF(Wilt!$M$5:$M$18,"&gt;0")</f>
        <v>3</v>
      </c>
      <c r="U10" s="62">
        <f>+Wilt!$M$20</f>
        <v>52.8</v>
      </c>
      <c r="V10" s="38"/>
      <c r="W10" s="92">
        <v>9</v>
      </c>
      <c r="X10" s="92"/>
      <c r="Y10" s="92"/>
      <c r="Z10" s="62">
        <f>O28</f>
        <v>34</v>
      </c>
      <c r="AA10" s="56"/>
    </row>
    <row r="11" spans="1:27" s="7" customFormat="1" ht="15" customHeight="1">
      <c r="A11" s="59" t="s">
        <v>89</v>
      </c>
      <c r="B11" s="56"/>
      <c r="C11" s="72">
        <f>+COUNTIF(Barton!$I$5:$I$18,"&gt;0")</f>
        <v>14</v>
      </c>
      <c r="D11" s="62">
        <f>+Barton!I20</f>
        <v>177.3</v>
      </c>
      <c r="E11" s="62">
        <f>+Barton!I37</f>
        <v>7.300000000000001</v>
      </c>
      <c r="F11" s="62">
        <v>0</v>
      </c>
      <c r="G11" s="62">
        <f t="shared" si="0"/>
        <v>184.60000000000002</v>
      </c>
      <c r="H11" s="62">
        <f t="shared" si="1"/>
        <v>14.600000000000001</v>
      </c>
      <c r="I11" s="73">
        <f t="shared" si="2"/>
        <v>199.20000000000002</v>
      </c>
      <c r="J11" s="56"/>
      <c r="K11" s="72">
        <f>+COUNTIF(Barton!$J$5:$J$18,"&gt;0")</f>
        <v>11</v>
      </c>
      <c r="L11" s="62">
        <f>+Barton!$J$20</f>
        <v>135.20000000000002</v>
      </c>
      <c r="M11" s="56"/>
      <c r="N11" s="72">
        <f>+COUNTIF(Barton!$K$5:$K$18,"&gt;0")</f>
        <v>10</v>
      </c>
      <c r="O11" s="62">
        <f>+Barton!$K$20</f>
        <v>131.60000000000002</v>
      </c>
      <c r="P11" s="56"/>
      <c r="Q11" s="72">
        <f>+COUNTIF(Barton!$L$5:$L$18,"&gt;0")</f>
        <v>6</v>
      </c>
      <c r="R11" s="62">
        <f>+Barton!$L$20</f>
        <v>83.75000000000001</v>
      </c>
      <c r="S11" s="56"/>
      <c r="T11" s="72">
        <f>+COUNTIF(Barton!$M$5:$M$18,"&gt;0")</f>
        <v>4</v>
      </c>
      <c r="U11" s="62">
        <f>+Barton!$M$20</f>
        <v>77.35000000000001</v>
      </c>
      <c r="V11" s="38"/>
      <c r="W11" s="92">
        <v>10</v>
      </c>
      <c r="X11" s="92"/>
      <c r="Y11" s="92"/>
      <c r="Z11" s="62">
        <f>O29</f>
        <v>17</v>
      </c>
      <c r="AA11" s="56"/>
    </row>
    <row r="12" spans="1:27" s="7" customFormat="1" ht="15" customHeight="1">
      <c r="A12" s="59" t="s">
        <v>15</v>
      </c>
      <c r="B12" s="56"/>
      <c r="C12" s="72">
        <f>+COUNTIF(WoodfordB!$I$5:$I$18,"&gt;0")</f>
        <v>14</v>
      </c>
      <c r="D12" s="62">
        <f>+WoodfordB!I20</f>
        <v>174.25</v>
      </c>
      <c r="E12" s="62">
        <f>+WoodfordB!I41</f>
        <v>17.400000000000002</v>
      </c>
      <c r="F12" s="62">
        <v>-9.7</v>
      </c>
      <c r="G12" s="62">
        <f t="shared" si="0"/>
        <v>181.95000000000002</v>
      </c>
      <c r="H12" s="62">
        <f t="shared" si="1"/>
        <v>11.950000000000001</v>
      </c>
      <c r="I12" s="73">
        <f t="shared" si="2"/>
        <v>193.9</v>
      </c>
      <c r="J12" s="56"/>
      <c r="K12" s="72">
        <f>+COUNTIF(WoodfordB!$J$5:$J$18,"&gt;0")</f>
        <v>10</v>
      </c>
      <c r="L12" s="62">
        <f>+WoodfordB!$J$20</f>
        <v>161.45</v>
      </c>
      <c r="M12" s="56"/>
      <c r="N12" s="72">
        <f>+COUNTIF(WoodfordB!$K$5:$K$18,"&gt;0")</f>
        <v>7</v>
      </c>
      <c r="O12" s="62">
        <f>+WoodfordB!$K$20</f>
        <v>88.7</v>
      </c>
      <c r="P12" s="56"/>
      <c r="Q12" s="72">
        <f>+COUNTIF(WoodfordB!$L$5:$L$18,"&gt;0")</f>
        <v>4</v>
      </c>
      <c r="R12" s="62">
        <f>+WoodfordB!$L$20</f>
        <v>68.7</v>
      </c>
      <c r="S12" s="56"/>
      <c r="T12" s="72">
        <f>+COUNTIF(WoodfordB!$M$5:$M$18,"&gt;0")</f>
        <v>1</v>
      </c>
      <c r="U12" s="62">
        <f>+WoodfordB!$M$20</f>
        <v>4.25</v>
      </c>
      <c r="V12" s="38"/>
      <c r="W12" s="92">
        <v>3</v>
      </c>
      <c r="X12" s="92"/>
      <c r="Y12" s="92"/>
      <c r="Z12" s="62">
        <f>L27</f>
        <v>236</v>
      </c>
      <c r="AA12" s="56"/>
    </row>
    <row r="13" spans="1:27" s="7" customFormat="1" ht="15" customHeight="1">
      <c r="A13" s="59" t="s">
        <v>160</v>
      </c>
      <c r="B13" s="56"/>
      <c r="C13" s="72">
        <f>+COUNTIF(Welch!$I$5:$I$18,"&gt;0")</f>
        <v>14</v>
      </c>
      <c r="D13" s="62">
        <f>+Welch!I20</f>
        <v>159.1</v>
      </c>
      <c r="E13" s="62">
        <f>+Welch!I35</f>
        <v>12.4</v>
      </c>
      <c r="F13" s="62">
        <v>0</v>
      </c>
      <c r="G13" s="62">
        <f t="shared" si="0"/>
        <v>171.5</v>
      </c>
      <c r="H13" s="62">
        <f t="shared" si="1"/>
        <v>1.5</v>
      </c>
      <c r="I13" s="73">
        <f t="shared" si="2"/>
        <v>173</v>
      </c>
      <c r="J13" s="74"/>
      <c r="K13" s="72">
        <f>+COUNTIF(Welch!$J$5:$J$18,"&gt;0")</f>
        <v>11</v>
      </c>
      <c r="L13" s="62">
        <f>+Welch!$J$20</f>
        <v>148.89999999999998</v>
      </c>
      <c r="M13" s="56"/>
      <c r="N13" s="72">
        <f>+COUNTIF(Welch!$K$5:$K$18,"&gt;0")</f>
        <v>5</v>
      </c>
      <c r="O13" s="62">
        <f>+Welch!$K$20</f>
        <v>84.45</v>
      </c>
      <c r="P13" s="56"/>
      <c r="Q13" s="72">
        <f>+COUNTIF(Welch!$L$5:$L$18,"&gt;0")</f>
        <v>1</v>
      </c>
      <c r="R13" s="62">
        <f>+Welch!$L$20</f>
        <v>5.1</v>
      </c>
      <c r="S13" s="56"/>
      <c r="T13" s="72">
        <f>+COUNTIF(Welch!$M$5:$M$18,"&gt;0")</f>
        <v>1</v>
      </c>
      <c r="U13" s="62">
        <f>+Welch!$M$20</f>
        <v>5.1</v>
      </c>
      <c r="V13" s="38"/>
      <c r="W13" s="92">
        <v>2</v>
      </c>
      <c r="X13" s="92"/>
      <c r="Y13" s="92">
        <v>1</v>
      </c>
      <c r="Z13" s="62">
        <f>L26+U26</f>
        <v>563</v>
      </c>
      <c r="AA13" s="56"/>
    </row>
    <row r="14" spans="1:27" s="7" customFormat="1" ht="15" customHeight="1">
      <c r="A14" s="59" t="s">
        <v>218</v>
      </c>
      <c r="B14" s="56"/>
      <c r="C14" s="72">
        <f>+COUNTIF(Seehusen!$I$5:$I$18,"&gt;0")</f>
        <v>14</v>
      </c>
      <c r="D14" s="62">
        <f>+Seehusen!I20</f>
        <v>157.20000000000002</v>
      </c>
      <c r="E14" s="62">
        <f>+Seehusen!I37</f>
        <v>5.3</v>
      </c>
      <c r="F14" s="62">
        <v>0</v>
      </c>
      <c r="G14" s="62">
        <f t="shared" si="0"/>
        <v>162.50000000000003</v>
      </c>
      <c r="H14" s="62">
        <f t="shared" si="1"/>
        <v>0</v>
      </c>
      <c r="I14" s="73">
        <f t="shared" si="2"/>
        <v>162.50000000000003</v>
      </c>
      <c r="J14" s="56"/>
      <c r="K14" s="72">
        <f>+COUNTIF(Seehusen!$J$5:$J$18,"&gt;0")</f>
        <v>10</v>
      </c>
      <c r="L14" s="62">
        <f>+Seehusen!$J$20</f>
        <v>132.15</v>
      </c>
      <c r="M14" s="56"/>
      <c r="N14" s="72">
        <f>+COUNTIF(Seehusen!$K$5:$K$18,"&gt;0")</f>
        <v>6</v>
      </c>
      <c r="O14" s="62">
        <f>+Seehusen!$K$20</f>
        <v>97.6</v>
      </c>
      <c r="P14" s="56"/>
      <c r="Q14" s="72">
        <f>+COUNTIF(Seehusen!$L$5:$L$18,"&gt;0")</f>
        <v>2</v>
      </c>
      <c r="R14" s="62">
        <f>+Seehusen!$L$20</f>
        <v>18.1</v>
      </c>
      <c r="S14" s="56"/>
      <c r="T14" s="72">
        <f>+COUNTIF(Seehusen!$M$5:$M$18,"&gt;0")</f>
        <v>0</v>
      </c>
      <c r="U14" s="62">
        <f>+Seehusen!$M$20</f>
        <v>0</v>
      </c>
      <c r="V14" s="38"/>
      <c r="W14" s="92">
        <v>4</v>
      </c>
      <c r="X14" s="92">
        <v>3</v>
      </c>
      <c r="Y14" s="92">
        <v>2</v>
      </c>
      <c r="Z14" s="62">
        <f>L28+R28+U27</f>
        <v>425</v>
      </c>
      <c r="AA14" s="56"/>
    </row>
    <row r="15" spans="1:27" s="7" customFormat="1" ht="15" customHeight="1">
      <c r="A15" s="59" t="s">
        <v>161</v>
      </c>
      <c r="B15" s="56"/>
      <c r="C15" s="72">
        <f>+COUNTIF(Shepherd!$I$5:$I$18,"&gt;0")</f>
        <v>13</v>
      </c>
      <c r="D15" s="62">
        <f>+Shepherd!I20</f>
        <v>128.9</v>
      </c>
      <c r="E15" s="62">
        <f>+Shepherd!I37</f>
        <v>19.55</v>
      </c>
      <c r="F15" s="62">
        <v>0</v>
      </c>
      <c r="G15" s="62">
        <f t="shared" si="0"/>
        <v>148.45000000000002</v>
      </c>
      <c r="H15" s="62">
        <f t="shared" si="1"/>
        <v>0</v>
      </c>
      <c r="I15" s="73">
        <f t="shared" si="2"/>
        <v>148.45000000000002</v>
      </c>
      <c r="J15" s="56"/>
      <c r="K15" s="72">
        <f>+COUNTIF(Shepherd!$J$5:$J$18,"&gt;0")</f>
        <v>9</v>
      </c>
      <c r="L15" s="62">
        <f>+Shepherd!J20</f>
        <v>110</v>
      </c>
      <c r="M15" s="56"/>
      <c r="N15" s="72">
        <f>+COUNTIF(Shepherd!$K$5:$K$18,"&gt;0")</f>
        <v>7</v>
      </c>
      <c r="O15" s="62">
        <f>+Shepherd!K20</f>
        <v>69.6</v>
      </c>
      <c r="P15" s="56"/>
      <c r="Q15" s="72">
        <f>+COUNTIF(Shepherd!$L$5:$L$18,"&gt;0")</f>
        <v>6</v>
      </c>
      <c r="R15" s="62">
        <f>+Shepherd!L20</f>
        <v>63.85</v>
      </c>
      <c r="S15" s="56"/>
      <c r="T15" s="72">
        <f>+COUNTIF(Shepherd!$M$5:$M$18,"&gt;0")</f>
        <v>4</v>
      </c>
      <c r="U15" s="62">
        <f>+Shepherd!M20</f>
        <v>32.55</v>
      </c>
      <c r="V15" s="38"/>
      <c r="W15" s="92">
        <v>7</v>
      </c>
      <c r="X15" s="92"/>
      <c r="Y15" s="92"/>
      <c r="Z15" s="62">
        <f>O26</f>
        <v>84</v>
      </c>
      <c r="AA15" s="56"/>
    </row>
    <row r="16" spans="1:27" s="7" customFormat="1" ht="15" customHeight="1">
      <c r="A16" s="59" t="s">
        <v>87</v>
      </c>
      <c r="B16" s="59"/>
      <c r="C16" s="72">
        <f>+COUNTIF(Chockalingam!$I$5:$I$18,"&gt;0")</f>
        <v>14</v>
      </c>
      <c r="D16" s="62">
        <f>+Chockalingam!I20</f>
        <v>127.95</v>
      </c>
      <c r="E16" s="62">
        <f>+Chockalingam!I35</f>
        <v>19.150000000000002</v>
      </c>
      <c r="F16" s="62">
        <v>0</v>
      </c>
      <c r="G16" s="62">
        <f t="shared" si="0"/>
        <v>147.1</v>
      </c>
      <c r="H16" s="62">
        <f t="shared" si="1"/>
        <v>0</v>
      </c>
      <c r="I16" s="73">
        <f t="shared" si="2"/>
        <v>147.1</v>
      </c>
      <c r="J16" s="56"/>
      <c r="K16" s="72">
        <f>+COUNTIF(Chockalingam!$J$5:$J$18,"&gt;0")</f>
        <v>9</v>
      </c>
      <c r="L16" s="62">
        <f>+Chockalingam!$J$20</f>
        <v>76.64999999999999</v>
      </c>
      <c r="M16" s="56"/>
      <c r="N16" s="72">
        <f>+COUNTIF(Chockalingam!$K$5:$K$18,"&gt;0")</f>
        <v>6</v>
      </c>
      <c r="O16" s="62">
        <f>+Chockalingam!$K$20</f>
        <v>36.8</v>
      </c>
      <c r="P16" s="56"/>
      <c r="Q16" s="72">
        <f>+COUNTIF(Chockalingam!$L$5:$L$18,"&gt;0")</f>
        <v>3</v>
      </c>
      <c r="R16" s="62">
        <f>+Chockalingam!$L$20</f>
        <v>21.75</v>
      </c>
      <c r="S16" s="56"/>
      <c r="T16" s="72">
        <f>+COUNTIF(Chockalingam!$M$5:$M$18,"&gt;0")</f>
        <v>2</v>
      </c>
      <c r="U16" s="62">
        <f>+Chockalingam!$M$20</f>
        <v>16.15</v>
      </c>
      <c r="V16" s="38"/>
      <c r="W16" s="92">
        <v>6</v>
      </c>
      <c r="X16" s="92"/>
      <c r="Y16" s="92"/>
      <c r="Z16" s="62">
        <f>O25</f>
        <v>118</v>
      </c>
      <c r="AA16" s="56"/>
    </row>
    <row r="17" spans="1:27" s="7" customFormat="1" ht="15" customHeight="1">
      <c r="A17" s="59" t="s">
        <v>88</v>
      </c>
      <c r="B17" s="59"/>
      <c r="C17" s="72">
        <f>+COUNTIF(Jagot!$I$5:$I$18,"&gt;0")</f>
        <v>14</v>
      </c>
      <c r="D17" s="62">
        <f>+Jagot!I20</f>
        <v>130.1</v>
      </c>
      <c r="E17" s="62">
        <f>+Jagot!I37</f>
        <v>10.350000000000001</v>
      </c>
      <c r="F17" s="62">
        <v>0</v>
      </c>
      <c r="G17" s="62">
        <f t="shared" si="0"/>
        <v>140.45</v>
      </c>
      <c r="H17" s="62">
        <f t="shared" si="1"/>
        <v>0</v>
      </c>
      <c r="I17" s="73">
        <f t="shared" si="2"/>
        <v>140.45</v>
      </c>
      <c r="J17" s="56"/>
      <c r="K17" s="72">
        <f>+COUNTIF(Jagot!$J$5:$J$18,"&gt;0")</f>
        <v>11</v>
      </c>
      <c r="L17" s="62">
        <f>+Jagot!$J$20</f>
        <v>86.8</v>
      </c>
      <c r="M17" s="56"/>
      <c r="N17" s="72">
        <f>+COUNTIF(Jagot!$K$5:$K$18,"&gt;0")</f>
        <v>8</v>
      </c>
      <c r="O17" s="62">
        <f>+Jagot!$K$20</f>
        <v>62.85</v>
      </c>
      <c r="P17" s="56"/>
      <c r="Q17" s="72">
        <f>+COUNTIF(Jagot!$L$5:$L$18,"&gt;0")</f>
        <v>3</v>
      </c>
      <c r="R17" s="62">
        <f>+Jagot!$L$20</f>
        <v>30.95</v>
      </c>
      <c r="S17" s="56"/>
      <c r="T17" s="72">
        <f>+COUNTIF(Jagot!$M$5:$M$18,"&gt;0")</f>
        <v>1</v>
      </c>
      <c r="U17" s="62">
        <f>+Jagot!$M$20</f>
        <v>10.2</v>
      </c>
      <c r="V17" s="38"/>
      <c r="W17" s="92">
        <v>11</v>
      </c>
      <c r="X17" s="92"/>
      <c r="Y17" s="92"/>
      <c r="Z17" s="62">
        <v>0</v>
      </c>
      <c r="AA17" s="56"/>
    </row>
    <row r="18" spans="1:27" s="7" customFormat="1" ht="15" customHeight="1">
      <c r="A18" s="59" t="s">
        <v>219</v>
      </c>
      <c r="B18" s="56"/>
      <c r="C18" s="72">
        <f>+COUNTIF(Goter!$I$5:$I$18,"&gt;0")</f>
        <v>14</v>
      </c>
      <c r="D18" s="62">
        <f>+Goter!I20</f>
        <v>96.10000000000001</v>
      </c>
      <c r="E18" s="62">
        <f>+Goter!I35</f>
        <v>36.599999999999994</v>
      </c>
      <c r="F18" s="62">
        <v>0</v>
      </c>
      <c r="G18" s="62">
        <f t="shared" si="0"/>
        <v>132.7</v>
      </c>
      <c r="H18" s="62">
        <f t="shared" si="1"/>
        <v>0</v>
      </c>
      <c r="I18" s="73">
        <f t="shared" si="2"/>
        <v>132.7</v>
      </c>
      <c r="J18" s="56"/>
      <c r="K18" s="72">
        <f>+COUNTIF(Goter!$J$5:$J$18,"&gt;0")</f>
        <v>7</v>
      </c>
      <c r="L18" s="62">
        <f>+Goter!J20</f>
        <v>52.1</v>
      </c>
      <c r="M18" s="56"/>
      <c r="N18" s="72">
        <f>+COUNTIF(Goter!$K$5:$K$18,"&gt;0")</f>
        <v>7</v>
      </c>
      <c r="O18" s="62">
        <f>+Goter!K20</f>
        <v>52.1</v>
      </c>
      <c r="P18" s="56"/>
      <c r="Q18" s="72">
        <f>+COUNTIF(Goter!$L$5:$L$18,"&gt;0")</f>
        <v>3</v>
      </c>
      <c r="R18" s="62">
        <f>+Goter!L20</f>
        <v>18.6</v>
      </c>
      <c r="S18" s="56"/>
      <c r="T18" s="72">
        <f>+COUNTIF(Goter!$M$5:$M$18,"&gt;0")</f>
        <v>1</v>
      </c>
      <c r="U18" s="62">
        <f>+Goter!M20</f>
        <v>3.4</v>
      </c>
      <c r="V18" s="38"/>
      <c r="W18" s="92">
        <v>12</v>
      </c>
      <c r="X18" s="92"/>
      <c r="Y18" s="92"/>
      <c r="Z18" s="62">
        <v>0</v>
      </c>
      <c r="AA18" s="56"/>
    </row>
    <row r="19" spans="1:27" s="7" customFormat="1" ht="15" customHeight="1">
      <c r="A19" s="59" t="s">
        <v>10</v>
      </c>
      <c r="B19" s="56"/>
      <c r="C19" s="72">
        <f>+COUNTIF(Rittenhouse!$I$5:$I$18,"&gt;0")</f>
        <v>14</v>
      </c>
      <c r="D19" s="62">
        <f>+Rittenhouse!I20</f>
        <v>87.55000000000001</v>
      </c>
      <c r="E19" s="62">
        <f>+Rittenhouse!I38</f>
        <v>32.75</v>
      </c>
      <c r="F19" s="62">
        <v>0</v>
      </c>
      <c r="G19" s="62">
        <f t="shared" si="0"/>
        <v>120.30000000000001</v>
      </c>
      <c r="H19" s="62">
        <f t="shared" si="1"/>
        <v>0</v>
      </c>
      <c r="I19" s="73">
        <f t="shared" si="2"/>
        <v>120.30000000000001</v>
      </c>
      <c r="J19" s="56"/>
      <c r="K19" s="72">
        <f>+COUNTIF(Rittenhouse!$J$5:$J$18,"&gt;0")</f>
        <v>12</v>
      </c>
      <c r="L19" s="62">
        <f>+Rittenhouse!$J$20</f>
        <v>80.75</v>
      </c>
      <c r="M19" s="56"/>
      <c r="N19" s="72">
        <f>+COUNTIF(Rittenhouse!$K$5:$K$18,"&gt;0")</f>
        <v>9</v>
      </c>
      <c r="O19" s="62">
        <f>+Rittenhouse!$K$20</f>
        <v>55.45</v>
      </c>
      <c r="P19" s="56"/>
      <c r="Q19" s="72">
        <f>+COUNTIF(Rittenhouse!$L$5:$L$18,"&gt;0")</f>
        <v>6</v>
      </c>
      <c r="R19" s="62">
        <f>+Rittenhouse!$L$20</f>
        <v>31.45</v>
      </c>
      <c r="S19" s="56"/>
      <c r="T19" s="72">
        <f>+COUNTIF(Rittenhouse!$M$5:$M$18,"&gt;0")</f>
        <v>3</v>
      </c>
      <c r="U19" s="62">
        <f>+Rittenhouse!$M$20</f>
        <v>13.6</v>
      </c>
      <c r="V19" s="38"/>
      <c r="W19" s="92">
        <v>13</v>
      </c>
      <c r="X19" s="92"/>
      <c r="Y19" s="92"/>
      <c r="Z19" s="62">
        <v>0</v>
      </c>
      <c r="AA19" s="56"/>
    </row>
    <row r="20" spans="1:27" s="7" customFormat="1" ht="15" customHeight="1">
      <c r="A20" s="59" t="s">
        <v>12</v>
      </c>
      <c r="B20" s="56"/>
      <c r="C20" s="72">
        <f>+COUNTIF(Kumar!$I$5:$I$18,"&gt;0")</f>
        <v>14</v>
      </c>
      <c r="D20" s="62">
        <f>+Kumar!I20</f>
        <v>117.00000000000001</v>
      </c>
      <c r="E20" s="62">
        <f>+Kumar!I35</f>
        <v>0.8500000000000001</v>
      </c>
      <c r="F20" s="62">
        <v>0</v>
      </c>
      <c r="G20" s="62">
        <f t="shared" si="0"/>
        <v>117.85000000000001</v>
      </c>
      <c r="H20" s="62">
        <f t="shared" si="1"/>
        <v>0</v>
      </c>
      <c r="I20" s="73">
        <f t="shared" si="2"/>
        <v>117.85000000000001</v>
      </c>
      <c r="J20" s="56"/>
      <c r="K20" s="72">
        <f>+COUNTIF(Kumar!$J$5:$J$18,"&gt;0")</f>
        <v>8</v>
      </c>
      <c r="L20" s="62">
        <f>+Kumar!$J$20</f>
        <v>77.39999999999999</v>
      </c>
      <c r="M20" s="56"/>
      <c r="N20" s="72">
        <f>+COUNTIF(Kumar!$K$5:$K$18,"&gt;0")</f>
        <v>6</v>
      </c>
      <c r="O20" s="62">
        <f>+Kumar!$K$20</f>
        <v>36.5</v>
      </c>
      <c r="P20" s="56"/>
      <c r="Q20" s="72">
        <f>+COUNTIF(Kumar!$L$5:$L$18,"&gt;0")</f>
        <v>5</v>
      </c>
      <c r="R20" s="62">
        <f>+Kumar!$L$20</f>
        <v>33.5</v>
      </c>
      <c r="S20" s="56"/>
      <c r="T20" s="72">
        <f>+COUNTIF(Kumar!$M$5:$M$18,"&gt;0")</f>
        <v>3</v>
      </c>
      <c r="U20" s="62">
        <f>+Kumar!$M$20</f>
        <v>20.7</v>
      </c>
      <c r="V20" s="38"/>
      <c r="W20" s="92">
        <v>14</v>
      </c>
      <c r="X20" s="92"/>
      <c r="Y20" s="92"/>
      <c r="Z20" s="62">
        <v>0</v>
      </c>
      <c r="AA20" s="56"/>
    </row>
    <row r="21" spans="1:27" s="7" customFormat="1" ht="15" customHeight="1" thickBot="1">
      <c r="A21" s="75"/>
      <c r="B21" s="76"/>
      <c r="C21" s="77"/>
      <c r="D21" s="77"/>
      <c r="E21" s="78"/>
      <c r="F21" s="78"/>
      <c r="G21" s="78"/>
      <c r="H21" s="78"/>
      <c r="I21" s="79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39"/>
      <c r="W21" s="91"/>
      <c r="X21" s="91"/>
      <c r="Y21" s="91"/>
      <c r="Z21" s="56"/>
      <c r="AA21" s="56"/>
    </row>
    <row r="22" spans="1:25" ht="7.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W22" s="91"/>
      <c r="X22" s="91"/>
      <c r="Y22" s="91"/>
    </row>
    <row r="23" spans="1:26" ht="15.75">
      <c r="A23" s="50"/>
      <c r="B23" s="97" t="s">
        <v>16</v>
      </c>
      <c r="C23" s="97"/>
      <c r="D23" s="97"/>
      <c r="E23" s="97"/>
      <c r="F23" s="71" t="s">
        <v>17</v>
      </c>
      <c r="G23" s="80" t="s">
        <v>18</v>
      </c>
      <c r="H23" s="80" t="s">
        <v>2</v>
      </c>
      <c r="I23" s="80" t="s">
        <v>9</v>
      </c>
      <c r="J23" s="80"/>
      <c r="K23" s="98" t="s">
        <v>19</v>
      </c>
      <c r="L23" s="98"/>
      <c r="M23" s="98"/>
      <c r="N23" s="98"/>
      <c r="O23" s="98"/>
      <c r="P23" s="50"/>
      <c r="Q23" s="96" t="s">
        <v>20</v>
      </c>
      <c r="R23" s="96"/>
      <c r="S23" s="50"/>
      <c r="T23" s="96" t="s">
        <v>21</v>
      </c>
      <c r="U23" s="96"/>
      <c r="V23" s="36"/>
      <c r="W23" s="91"/>
      <c r="X23" s="91"/>
      <c r="Y23" s="91"/>
      <c r="Z23" s="66"/>
    </row>
    <row r="24" spans="1:25" ht="6" customHeight="1">
      <c r="A24" s="50"/>
      <c r="B24" s="50"/>
      <c r="C24" s="50"/>
      <c r="D24" s="50"/>
      <c r="E24" s="50"/>
      <c r="F24" s="81"/>
      <c r="G24" s="82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W24" s="91"/>
      <c r="X24" s="91"/>
      <c r="Y24" s="91"/>
    </row>
    <row r="25" spans="1:25" ht="15.75">
      <c r="A25" s="94" t="s">
        <v>22</v>
      </c>
      <c r="B25" s="94"/>
      <c r="C25" s="94"/>
      <c r="D25" s="93">
        <f>+SUM(G7:G20)</f>
        <v>2286.5</v>
      </c>
      <c r="E25" s="93"/>
      <c r="F25" s="83" t="s">
        <v>91</v>
      </c>
      <c r="G25" s="61">
        <v>170</v>
      </c>
      <c r="H25" s="60">
        <f>SUM(C7:C20)</f>
        <v>195</v>
      </c>
      <c r="I25" s="63">
        <f>+SUM(G7:G20)</f>
        <v>2286.5</v>
      </c>
      <c r="J25" s="63"/>
      <c r="K25" s="83" t="s">
        <v>23</v>
      </c>
      <c r="L25" s="61">
        <f>+ROUND(($D$28-R25-U25)*0.29,0)</f>
        <v>489</v>
      </c>
      <c r="M25" s="50"/>
      <c r="N25" s="83" t="s">
        <v>24</v>
      </c>
      <c r="O25" s="61">
        <f>+ROUND(($D$28-$R$25-$U$25)*0.07,0)</f>
        <v>118</v>
      </c>
      <c r="P25" s="50"/>
      <c r="Q25" s="83" t="s">
        <v>8</v>
      </c>
      <c r="R25" s="61">
        <f>+ROUND(D28*0.15,0)</f>
        <v>389</v>
      </c>
      <c r="S25" s="50"/>
      <c r="T25" s="83" t="s">
        <v>8</v>
      </c>
      <c r="U25" s="61">
        <f>+ROUND(D28*0.2,0)</f>
        <v>519</v>
      </c>
      <c r="V25" s="40"/>
      <c r="W25" s="91"/>
      <c r="X25" s="91"/>
      <c r="Y25" s="91"/>
    </row>
    <row r="26" spans="1:22" ht="15.75">
      <c r="A26" s="94" t="s">
        <v>7</v>
      </c>
      <c r="B26" s="94"/>
      <c r="C26" s="94"/>
      <c r="D26" s="93">
        <f>+SUM(H7:H20)</f>
        <v>223.6</v>
      </c>
      <c r="E26" s="93"/>
      <c r="F26" s="83" t="s">
        <v>123</v>
      </c>
      <c r="G26" s="61">
        <v>180</v>
      </c>
      <c r="H26" s="60">
        <f>SUM(K7:K20)</f>
        <v>131</v>
      </c>
      <c r="I26" s="63">
        <f>SUM(L7:L20)</f>
        <v>1580.1000000000001</v>
      </c>
      <c r="J26" s="63"/>
      <c r="K26" s="83" t="s">
        <v>25</v>
      </c>
      <c r="L26" s="61">
        <f>+ROUND(($D$28-R25-U25)*0.18,0)</f>
        <v>303</v>
      </c>
      <c r="M26" s="50"/>
      <c r="N26" s="83" t="s">
        <v>26</v>
      </c>
      <c r="O26" s="61">
        <f>+ROUND(($D$28-$R$25-$U$25)*0.05,0)</f>
        <v>84</v>
      </c>
      <c r="P26" s="50"/>
      <c r="Q26" s="83" t="s">
        <v>23</v>
      </c>
      <c r="R26" s="61">
        <f>ROUND(R25*0.5,0)</f>
        <v>195</v>
      </c>
      <c r="S26" s="50"/>
      <c r="T26" s="83" t="s">
        <v>23</v>
      </c>
      <c r="U26" s="61">
        <f>ROUND(U25*0.5,0)</f>
        <v>260</v>
      </c>
      <c r="V26" s="40"/>
    </row>
    <row r="27" spans="1:22" ht="15.75">
      <c r="A27" s="94" t="s">
        <v>27</v>
      </c>
      <c r="B27" s="94"/>
      <c r="C27" s="94"/>
      <c r="D27" s="93">
        <f>+SUM(I7:I20)</f>
        <v>2510.1</v>
      </c>
      <c r="E27" s="93"/>
      <c r="F27" s="83" t="s">
        <v>162</v>
      </c>
      <c r="G27" s="61">
        <v>190</v>
      </c>
      <c r="H27" s="60">
        <f>SUM(N7:N20)</f>
        <v>94</v>
      </c>
      <c r="I27" s="63">
        <f>SUM(O7:O20)</f>
        <v>1023.3500000000001</v>
      </c>
      <c r="J27" s="63"/>
      <c r="K27" s="83" t="s">
        <v>28</v>
      </c>
      <c r="L27" s="61">
        <f>+ROUND(($D$28-R25-U25)*0.14,0)</f>
        <v>236</v>
      </c>
      <c r="M27" s="50"/>
      <c r="N27" s="83" t="s">
        <v>29</v>
      </c>
      <c r="O27" s="61">
        <f>+ROUND(($D$28-$R$25-$U$25)*0.04,0)</f>
        <v>67</v>
      </c>
      <c r="P27" s="50"/>
      <c r="Q27" s="83" t="s">
        <v>25</v>
      </c>
      <c r="R27" s="61">
        <f>ROUND(R25*0.35,0)</f>
        <v>136</v>
      </c>
      <c r="S27" s="50"/>
      <c r="T27" s="83" t="s">
        <v>25</v>
      </c>
      <c r="U27" s="61">
        <f>ROUND(U25*0.35,0)</f>
        <v>182</v>
      </c>
      <c r="V27" s="40"/>
    </row>
    <row r="28" spans="1:22" ht="15.75">
      <c r="A28" s="94" t="s">
        <v>30</v>
      </c>
      <c r="B28" s="94"/>
      <c r="C28" s="94"/>
      <c r="D28" s="100">
        <f>FLOOR(SUMIF(G7:G20,"&lt;=170",G7:G20)+170*COUNTIF(G7:G20,"&gt;170"),1)+509-75</f>
        <v>2593</v>
      </c>
      <c r="E28" s="100"/>
      <c r="F28" s="83" t="s">
        <v>217</v>
      </c>
      <c r="G28" s="61">
        <v>200</v>
      </c>
      <c r="H28" s="60">
        <f>SUM(Q7:Q20)</f>
        <v>51</v>
      </c>
      <c r="I28" s="63">
        <f>SUM(R7:R20)</f>
        <v>493.1000000000001</v>
      </c>
      <c r="J28" s="63"/>
      <c r="K28" s="83" t="s">
        <v>31</v>
      </c>
      <c r="L28" s="61">
        <f>+ROUND(($D$28-R25-U25)*0.11,0)</f>
        <v>185</v>
      </c>
      <c r="M28" s="63"/>
      <c r="N28" s="83" t="s">
        <v>32</v>
      </c>
      <c r="O28" s="61">
        <f>+ROUND(($D$28-$R$25-$U$25)*0.02,0)</f>
        <v>34</v>
      </c>
      <c r="P28" s="50"/>
      <c r="Q28" s="83" t="s">
        <v>28</v>
      </c>
      <c r="R28" s="61">
        <f>R25-R26-R27</f>
        <v>58</v>
      </c>
      <c r="S28" s="50"/>
      <c r="T28" s="83" t="s">
        <v>28</v>
      </c>
      <c r="U28" s="61">
        <f>U25-U26-U27</f>
        <v>77</v>
      </c>
      <c r="V28" s="40"/>
    </row>
    <row r="29" spans="1:21" ht="15.75">
      <c r="A29" s="94" t="s">
        <v>33</v>
      </c>
      <c r="B29" s="94"/>
      <c r="C29" s="94"/>
      <c r="D29" s="100">
        <f>+D27-D28+509.9-75-18</f>
        <v>333.9999999999999</v>
      </c>
      <c r="E29" s="100"/>
      <c r="F29" s="83" t="s">
        <v>268</v>
      </c>
      <c r="G29" s="61">
        <v>210</v>
      </c>
      <c r="H29" s="60">
        <f>SUM(T7:T20)</f>
        <v>27</v>
      </c>
      <c r="I29" s="63">
        <f>SUM(U7:U20)</f>
        <v>265.85</v>
      </c>
      <c r="J29" s="63"/>
      <c r="K29" s="83" t="s">
        <v>34</v>
      </c>
      <c r="L29" s="61">
        <f>+ROUND(($D$28-R25-U25)*0.09,0)</f>
        <v>152</v>
      </c>
      <c r="M29" s="63"/>
      <c r="N29" s="83" t="s">
        <v>35</v>
      </c>
      <c r="O29" s="61">
        <f>D28-R25-U25-SUM(L25:L29)-SUM(O25:O28)</f>
        <v>17</v>
      </c>
      <c r="P29" s="50"/>
      <c r="Q29" s="50"/>
      <c r="R29" s="50"/>
      <c r="S29" s="50"/>
      <c r="T29" s="50"/>
      <c r="U29" s="50"/>
    </row>
    <row r="30" spans="1:22" ht="7.5" customHeight="1" thickBo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/>
      <c r="Q30" s="9"/>
      <c r="R30" s="9"/>
      <c r="S30" s="9"/>
      <c r="T30" s="9"/>
      <c r="U30" s="9"/>
      <c r="V30" s="41"/>
    </row>
    <row r="31" spans="1:4" ht="12.75">
      <c r="A31" s="11"/>
      <c r="B31" s="99"/>
      <c r="C31" s="99"/>
      <c r="D31" s="12"/>
    </row>
    <row r="32" spans="1:2" ht="12.75">
      <c r="A32" s="13" t="s">
        <v>36</v>
      </c>
      <c r="B32" s="14"/>
    </row>
    <row r="33" spans="1:5" ht="12.75">
      <c r="A33" s="45"/>
      <c r="B33" s="15"/>
      <c r="C33" s="15"/>
      <c r="D33" s="15"/>
      <c r="E33" s="15"/>
    </row>
    <row r="34" spans="1:5" ht="12.75">
      <c r="A34" s="45"/>
      <c r="B34" s="15"/>
      <c r="C34" s="15"/>
      <c r="D34" s="15"/>
      <c r="E34" s="15"/>
    </row>
    <row r="35" ht="12.75">
      <c r="A35" s="45"/>
    </row>
    <row r="36" ht="12.75">
      <c r="A36" s="45"/>
    </row>
    <row r="38" ht="12.75">
      <c r="A38" s="45"/>
    </row>
    <row r="39" ht="12.75">
      <c r="A39" s="45"/>
    </row>
    <row r="40" ht="12.75">
      <c r="A40" s="45"/>
    </row>
    <row r="41" ht="12.75">
      <c r="A41" s="45"/>
    </row>
    <row r="46" ht="12.75">
      <c r="A46" s="15"/>
    </row>
    <row r="47" ht="12.75">
      <c r="A47" s="15"/>
    </row>
  </sheetData>
  <sheetProtection/>
  <mergeCells count="21">
    <mergeCell ref="Q1:U1"/>
    <mergeCell ref="C3:I3"/>
    <mergeCell ref="K3:L3"/>
    <mergeCell ref="N3:O3"/>
    <mergeCell ref="Q3:R3"/>
    <mergeCell ref="Q23:R23"/>
    <mergeCell ref="B31:C31"/>
    <mergeCell ref="A27:C27"/>
    <mergeCell ref="D27:E27"/>
    <mergeCell ref="A28:C28"/>
    <mergeCell ref="D28:E28"/>
    <mergeCell ref="A29:C29"/>
    <mergeCell ref="D29:E29"/>
    <mergeCell ref="D26:E26"/>
    <mergeCell ref="A26:C26"/>
    <mergeCell ref="D25:E25"/>
    <mergeCell ref="T3:U3"/>
    <mergeCell ref="A25:C25"/>
    <mergeCell ref="T23:U23"/>
    <mergeCell ref="B23:E23"/>
    <mergeCell ref="K23:O23"/>
  </mergeCells>
  <printOptions horizontalCentered="1"/>
  <pageMargins left="0.25" right="0.25" top="0.5" bottom="0.38" header="0.5" footer="0.39"/>
  <pageSetup horizontalDpi="600" verticalDpi="6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38</v>
      </c>
      <c r="C3" s="19" t="s">
        <v>39</v>
      </c>
      <c r="D3" s="19" t="s">
        <v>1</v>
      </c>
      <c r="E3" s="19" t="s">
        <v>40</v>
      </c>
      <c r="F3" s="19" t="s">
        <v>9</v>
      </c>
      <c r="G3" s="19" t="s">
        <v>41</v>
      </c>
      <c r="I3" s="20">
        <v>2016</v>
      </c>
      <c r="J3" s="20">
        <v>2017</v>
      </c>
      <c r="K3" s="20">
        <v>2018</v>
      </c>
      <c r="L3" s="20">
        <v>2019</v>
      </c>
      <c r="M3" s="20">
        <v>2020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279</v>
      </c>
      <c r="C5" s="17" t="s">
        <v>48</v>
      </c>
      <c r="D5" s="17" t="s">
        <v>76</v>
      </c>
      <c r="E5" s="23" t="s">
        <v>271</v>
      </c>
      <c r="F5" s="24">
        <v>6.8</v>
      </c>
      <c r="G5" s="30">
        <v>2020</v>
      </c>
      <c r="I5" s="26">
        <f aca="true" t="shared" si="0" ref="I5:M18">+IF($G5&gt;=I$3,$F5,0)</f>
        <v>6.8</v>
      </c>
      <c r="J5" s="26">
        <f t="shared" si="0"/>
        <v>6.8</v>
      </c>
      <c r="K5" s="26">
        <f t="shared" si="0"/>
        <v>6.8</v>
      </c>
      <c r="L5" s="26">
        <f t="shared" si="0"/>
        <v>6.8</v>
      </c>
      <c r="M5" s="26">
        <f t="shared" si="0"/>
        <v>6.8</v>
      </c>
    </row>
    <row r="6" spans="1:13" ht="12.75">
      <c r="A6" s="21">
        <v>2</v>
      </c>
      <c r="B6" s="32" t="s">
        <v>292</v>
      </c>
      <c r="C6" s="17" t="s">
        <v>48</v>
      </c>
      <c r="D6" s="17" t="s">
        <v>74</v>
      </c>
      <c r="E6" s="23" t="s">
        <v>271</v>
      </c>
      <c r="F6" s="24">
        <v>3.4</v>
      </c>
      <c r="G6" s="25">
        <v>2020</v>
      </c>
      <c r="I6" s="26">
        <f t="shared" si="0"/>
        <v>3.4</v>
      </c>
      <c r="J6" s="26">
        <f t="shared" si="0"/>
        <v>3.4</v>
      </c>
      <c r="K6" s="26">
        <f t="shared" si="0"/>
        <v>3.4</v>
      </c>
      <c r="L6" s="26">
        <f t="shared" si="0"/>
        <v>3.4</v>
      </c>
      <c r="M6" s="26">
        <f t="shared" si="0"/>
        <v>3.4</v>
      </c>
    </row>
    <row r="7" spans="1:13" ht="12.75">
      <c r="A7" s="21">
        <v>3</v>
      </c>
      <c r="B7" s="32" t="s">
        <v>333</v>
      </c>
      <c r="C7" s="17" t="s">
        <v>42</v>
      </c>
      <c r="D7" s="17" t="s">
        <v>70</v>
      </c>
      <c r="E7" s="43" t="s">
        <v>297</v>
      </c>
      <c r="F7" s="24">
        <v>3.4</v>
      </c>
      <c r="G7" s="25">
        <v>2020</v>
      </c>
      <c r="I7" s="26">
        <f t="shared" si="0"/>
        <v>3.4</v>
      </c>
      <c r="J7" s="26">
        <f t="shared" si="0"/>
        <v>3.4</v>
      </c>
      <c r="K7" s="26">
        <f t="shared" si="0"/>
        <v>3.4</v>
      </c>
      <c r="L7" s="26">
        <f t="shared" si="0"/>
        <v>3.4</v>
      </c>
      <c r="M7" s="26">
        <f t="shared" si="0"/>
        <v>3.4</v>
      </c>
    </row>
    <row r="8" spans="1:13" ht="12.75">
      <c r="A8" s="21">
        <v>4</v>
      </c>
      <c r="B8" s="32" t="s">
        <v>234</v>
      </c>
      <c r="C8" s="44" t="s">
        <v>61</v>
      </c>
      <c r="D8" s="44" t="s">
        <v>77</v>
      </c>
      <c r="E8" s="43" t="s">
        <v>221</v>
      </c>
      <c r="F8" s="24">
        <v>7.2</v>
      </c>
      <c r="G8" s="25">
        <v>2019</v>
      </c>
      <c r="I8" s="26">
        <f t="shared" si="0"/>
        <v>7.2</v>
      </c>
      <c r="J8" s="26">
        <f t="shared" si="0"/>
        <v>7.2</v>
      </c>
      <c r="K8" s="26">
        <f t="shared" si="0"/>
        <v>7.2</v>
      </c>
      <c r="L8" s="26">
        <f t="shared" si="0"/>
        <v>7.2</v>
      </c>
      <c r="M8" s="26">
        <f t="shared" si="0"/>
        <v>0</v>
      </c>
    </row>
    <row r="9" spans="1:13" ht="12.75">
      <c r="A9" s="21">
        <v>5</v>
      </c>
      <c r="B9" s="32" t="s">
        <v>249</v>
      </c>
      <c r="C9" s="17" t="s">
        <v>45</v>
      </c>
      <c r="D9" s="17" t="s">
        <v>75</v>
      </c>
      <c r="E9" s="23" t="s">
        <v>242</v>
      </c>
      <c r="F9" s="24">
        <v>5.85</v>
      </c>
      <c r="G9" s="25">
        <v>2019</v>
      </c>
      <c r="I9" s="26">
        <f t="shared" si="0"/>
        <v>5.85</v>
      </c>
      <c r="J9" s="26">
        <f t="shared" si="0"/>
        <v>5.85</v>
      </c>
      <c r="K9" s="26">
        <f t="shared" si="0"/>
        <v>5.85</v>
      </c>
      <c r="L9" s="26">
        <f t="shared" si="0"/>
        <v>5.85</v>
      </c>
      <c r="M9" s="26">
        <f t="shared" si="0"/>
        <v>0</v>
      </c>
    </row>
    <row r="10" spans="1:13" ht="12.75">
      <c r="A10" s="21">
        <v>6</v>
      </c>
      <c r="B10" s="32" t="s">
        <v>222</v>
      </c>
      <c r="C10" s="17" t="s">
        <v>53</v>
      </c>
      <c r="D10" s="17" t="s">
        <v>63</v>
      </c>
      <c r="E10" s="23" t="s">
        <v>221</v>
      </c>
      <c r="F10" s="24">
        <v>4.8</v>
      </c>
      <c r="G10" s="25">
        <v>2019</v>
      </c>
      <c r="I10" s="26">
        <f t="shared" si="0"/>
        <v>4.8</v>
      </c>
      <c r="J10" s="26">
        <f t="shared" si="0"/>
        <v>4.8</v>
      </c>
      <c r="K10" s="26">
        <f t="shared" si="0"/>
        <v>4.8</v>
      </c>
      <c r="L10" s="26">
        <f t="shared" si="0"/>
        <v>4.8</v>
      </c>
      <c r="M10" s="26">
        <f t="shared" si="0"/>
        <v>0</v>
      </c>
    </row>
    <row r="11" spans="1:13" ht="12.75">
      <c r="A11" s="21">
        <v>7</v>
      </c>
      <c r="B11" s="31" t="s">
        <v>167</v>
      </c>
      <c r="C11" s="17" t="s">
        <v>66</v>
      </c>
      <c r="D11" s="17" t="s">
        <v>64</v>
      </c>
      <c r="E11" s="23" t="s">
        <v>168</v>
      </c>
      <c r="F11" s="24">
        <v>12</v>
      </c>
      <c r="G11" s="25">
        <v>2018</v>
      </c>
      <c r="I11" s="26">
        <f t="shared" si="0"/>
        <v>12</v>
      </c>
      <c r="J11" s="26">
        <f t="shared" si="0"/>
        <v>12</v>
      </c>
      <c r="K11" s="26">
        <f t="shared" si="0"/>
        <v>12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180</v>
      </c>
      <c r="C12" s="17" t="s">
        <v>50</v>
      </c>
      <c r="D12" s="17" t="s">
        <v>47</v>
      </c>
      <c r="E12" s="23" t="s">
        <v>168</v>
      </c>
      <c r="F12" s="24">
        <v>6.75</v>
      </c>
      <c r="G12" s="25">
        <v>2018</v>
      </c>
      <c r="I12" s="26">
        <f t="shared" si="0"/>
        <v>6.75</v>
      </c>
      <c r="J12" s="26">
        <f t="shared" si="0"/>
        <v>6.75</v>
      </c>
      <c r="K12" s="26">
        <f t="shared" si="0"/>
        <v>6.75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208</v>
      </c>
      <c r="C13" s="17" t="s">
        <v>42</v>
      </c>
      <c r="D13" s="17" t="s">
        <v>56</v>
      </c>
      <c r="E13" s="23" t="s">
        <v>163</v>
      </c>
      <c r="F13" s="24">
        <v>5.25</v>
      </c>
      <c r="G13" s="25">
        <v>2018</v>
      </c>
      <c r="I13" s="26">
        <f t="shared" si="0"/>
        <v>5.25</v>
      </c>
      <c r="J13" s="26">
        <f t="shared" si="0"/>
        <v>5.25</v>
      </c>
      <c r="K13" s="26">
        <f t="shared" si="0"/>
        <v>5.25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151</v>
      </c>
      <c r="C14" s="17" t="s">
        <v>66</v>
      </c>
      <c r="D14" s="17" t="s">
        <v>67</v>
      </c>
      <c r="E14" s="23" t="s">
        <v>44</v>
      </c>
      <c r="F14" s="24">
        <v>17.75</v>
      </c>
      <c r="G14" s="25">
        <v>2017</v>
      </c>
      <c r="I14" s="26">
        <f t="shared" si="0"/>
        <v>17.75</v>
      </c>
      <c r="J14" s="26">
        <f t="shared" si="0"/>
        <v>17.75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211</v>
      </c>
      <c r="C15" s="17" t="s">
        <v>45</v>
      </c>
      <c r="D15" s="17" t="s">
        <v>46</v>
      </c>
      <c r="E15" s="23" t="s">
        <v>163</v>
      </c>
      <c r="F15" s="24">
        <v>4.75</v>
      </c>
      <c r="G15" s="25">
        <v>2017</v>
      </c>
      <c r="I15" s="26">
        <f t="shared" si="0"/>
        <v>4.75</v>
      </c>
      <c r="J15" s="26">
        <f t="shared" si="0"/>
        <v>4.75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22" t="s">
        <v>147</v>
      </c>
      <c r="C16" s="17" t="s">
        <v>61</v>
      </c>
      <c r="D16" s="17" t="s">
        <v>76</v>
      </c>
      <c r="E16" s="23" t="s">
        <v>199</v>
      </c>
      <c r="F16" s="24">
        <v>2.8</v>
      </c>
      <c r="G16" s="25">
        <v>2017</v>
      </c>
      <c r="I16" s="26">
        <f t="shared" si="0"/>
        <v>2.8</v>
      </c>
      <c r="J16" s="26">
        <f t="shared" si="0"/>
        <v>2.8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342</v>
      </c>
      <c r="C17" s="17" t="s">
        <v>45</v>
      </c>
      <c r="D17" s="17" t="s">
        <v>64</v>
      </c>
      <c r="E17" s="23" t="s">
        <v>336</v>
      </c>
      <c r="F17" s="24">
        <v>3.4</v>
      </c>
      <c r="G17" s="25">
        <v>2016</v>
      </c>
      <c r="I17" s="26">
        <f t="shared" si="0"/>
        <v>3.4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317</v>
      </c>
      <c r="C18" s="44" t="s">
        <v>45</v>
      </c>
      <c r="D18" s="44" t="s">
        <v>76</v>
      </c>
      <c r="E18" s="23" t="s">
        <v>297</v>
      </c>
      <c r="F18" s="24">
        <v>3.4</v>
      </c>
      <c r="G18" s="25">
        <v>2016</v>
      </c>
      <c r="I18" s="26">
        <f t="shared" si="0"/>
        <v>3.4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47"/>
      <c r="E20" s="47"/>
      <c r="I20" s="28">
        <f>+SUM(I5:I18)</f>
        <v>87.55000000000001</v>
      </c>
      <c r="J20" s="28">
        <f>+SUM(J5:J18)</f>
        <v>80.75</v>
      </c>
      <c r="K20" s="28">
        <f>+SUM(K5:K18)</f>
        <v>55.45</v>
      </c>
      <c r="L20" s="28">
        <f>+SUM(L5:L18)</f>
        <v>31.45</v>
      </c>
      <c r="M20" s="28">
        <f>+SUM(M5:M18)</f>
        <v>13.6</v>
      </c>
    </row>
    <row r="22" spans="1:13" ht="15.75">
      <c r="A22" s="103" t="s">
        <v>59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38</v>
      </c>
      <c r="C24" s="19" t="s">
        <v>39</v>
      </c>
      <c r="D24" s="19" t="s">
        <v>1</v>
      </c>
      <c r="E24" s="19" t="s">
        <v>60</v>
      </c>
      <c r="F24" s="19" t="s">
        <v>9</v>
      </c>
      <c r="G24" s="19" t="s">
        <v>41</v>
      </c>
      <c r="I24" s="20">
        <f>+I$3</f>
        <v>2016</v>
      </c>
      <c r="J24" s="20">
        <f>+J$3</f>
        <v>2017</v>
      </c>
      <c r="K24" s="20">
        <f>+K$3</f>
        <v>2018</v>
      </c>
      <c r="L24" s="20">
        <f>+L$3</f>
        <v>2019</v>
      </c>
      <c r="M24" s="20">
        <f>+M$3</f>
        <v>2020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260</v>
      </c>
      <c r="C26" s="17" t="s">
        <v>42</v>
      </c>
      <c r="D26" s="17" t="s">
        <v>64</v>
      </c>
      <c r="E26" s="23">
        <v>2015</v>
      </c>
      <c r="F26" s="24">
        <v>29.25</v>
      </c>
      <c r="G26" s="25">
        <v>2019</v>
      </c>
      <c r="I26" s="26">
        <f>+CEILING(IF($I$24=E26,F26,IF($I$24&lt;=G26,F26*0.3,0)),0.05)</f>
        <v>8.8</v>
      </c>
      <c r="J26" s="26">
        <f>+CEILING(IF($J$24&lt;=G26,F26*0.3,0),0.05)</f>
        <v>8.8</v>
      </c>
      <c r="K26" s="26">
        <f>+CEILING(IF($K$24&lt;=G26,F26*0.3,0),0.05)</f>
        <v>8.8</v>
      </c>
      <c r="L26" s="26">
        <f>+CEILING(IF($L$24&lt;=G26,F26*0.3,0),0.05)</f>
        <v>8.8</v>
      </c>
      <c r="M26" s="26">
        <f>CEILING(IF($M$24&lt;=G26,F26*0.3,0),0.05)</f>
        <v>0</v>
      </c>
    </row>
    <row r="27" spans="1:13" ht="12.75">
      <c r="A27" s="21">
        <v>2</v>
      </c>
      <c r="B27" s="32" t="s">
        <v>253</v>
      </c>
      <c r="C27" s="17" t="s">
        <v>57</v>
      </c>
      <c r="D27" s="17" t="s">
        <v>49</v>
      </c>
      <c r="E27" s="23">
        <v>2016</v>
      </c>
      <c r="F27" s="24">
        <v>3.2</v>
      </c>
      <c r="G27" s="25">
        <v>2019</v>
      </c>
      <c r="I27" s="26">
        <f>+CEILING(IF($I$24=E27,F27,IF($I$24&lt;=G27,F27*0.3,0)),0.05)</f>
        <v>3.2</v>
      </c>
      <c r="J27" s="26">
        <f>+CEILING(IF($J$24&lt;=G27,F27*0.3,0),0.05)</f>
        <v>1</v>
      </c>
      <c r="K27" s="26">
        <f>+CEILING(IF($K$24&lt;=G27,F27*0.3,0),0.05)</f>
        <v>1</v>
      </c>
      <c r="L27" s="26">
        <f>+CEILING(IF($L$24&lt;=G27,F27*0.3,0),0.05)</f>
        <v>1</v>
      </c>
      <c r="M27" s="26">
        <f>CEILING(IF($M$24&lt;=G27,F27*0.3,0),0.05)</f>
        <v>0</v>
      </c>
    </row>
    <row r="28" spans="1:13" ht="12.75">
      <c r="A28" s="21">
        <v>3</v>
      </c>
      <c r="B28" s="32" t="s">
        <v>207</v>
      </c>
      <c r="C28" s="17" t="s">
        <v>57</v>
      </c>
      <c r="D28" s="17" t="s">
        <v>72</v>
      </c>
      <c r="E28" s="23">
        <v>2015</v>
      </c>
      <c r="F28" s="24">
        <v>3</v>
      </c>
      <c r="G28" s="30">
        <v>2018</v>
      </c>
      <c r="I28" s="26">
        <f>+CEILING(IF($I$24=E28,F28,IF($I$24&lt;=G28,F28*0.3,0)),0.05)</f>
        <v>0.9</v>
      </c>
      <c r="J28" s="26">
        <f>+CEILING(IF($J$24&lt;=G28,F28*0.3,0),0.05)</f>
        <v>0.9</v>
      </c>
      <c r="K28" s="26">
        <f>+CEILING(IF($K$24&lt;=G28,F28*0.3,0),0.05)</f>
        <v>0.9</v>
      </c>
      <c r="L28" s="26">
        <f>+CEILING(IF($L$24&lt;=G28,F28*0.3,0),0.05)</f>
        <v>0</v>
      </c>
      <c r="M28" s="26">
        <f>CEILING(IF($M$24&lt;=G28,F28*0.3,0),0.05)</f>
        <v>0</v>
      </c>
    </row>
    <row r="29" spans="1:13" ht="12.75">
      <c r="A29" s="21">
        <v>4</v>
      </c>
      <c r="B29" s="32" t="s">
        <v>212</v>
      </c>
      <c r="C29" s="17" t="s">
        <v>42</v>
      </c>
      <c r="D29" s="17" t="s">
        <v>71</v>
      </c>
      <c r="E29" s="23">
        <v>2016</v>
      </c>
      <c r="F29" s="24">
        <v>3</v>
      </c>
      <c r="G29" s="25">
        <v>2018</v>
      </c>
      <c r="I29" s="26">
        <f>+CEILING(IF($I$24=E29,F29,IF($I$24&lt;=G29,F29*0.3,0)),0.05)</f>
        <v>3</v>
      </c>
      <c r="J29" s="26">
        <f>+CEILING(IF($J$24&lt;=G29,F29*0.3,0),0.05)</f>
        <v>0.9</v>
      </c>
      <c r="K29" s="26">
        <f>+CEILING(IF($K$24&lt;=G29,F29*0.3,0),0.05)</f>
        <v>0.9</v>
      </c>
      <c r="L29" s="26">
        <f>+CEILING(IF($L$24&lt;=G29,F29*0.3,0),0.05)</f>
        <v>0</v>
      </c>
      <c r="M29" s="26">
        <f>CEILING(IF($M$24&lt;=G29,F29*0.3,0),0.05)</f>
        <v>0</v>
      </c>
    </row>
    <row r="30" spans="1:13" ht="12.75">
      <c r="A30" s="21">
        <v>5</v>
      </c>
      <c r="B30" s="22" t="s">
        <v>150</v>
      </c>
      <c r="C30" s="17" t="s">
        <v>42</v>
      </c>
      <c r="D30" s="17" t="s">
        <v>65</v>
      </c>
      <c r="E30" s="23">
        <v>2015</v>
      </c>
      <c r="F30" s="24">
        <v>47.9</v>
      </c>
      <c r="G30" s="25">
        <v>2017</v>
      </c>
      <c r="I30" s="26">
        <f aca="true" t="shared" si="1" ref="I30:I35">+CEILING(IF($I$24=E30,F30,IF($I$24&lt;=G30,F30*0.3,0)),0.05)</f>
        <v>14.4</v>
      </c>
      <c r="J30" s="26">
        <f aca="true" t="shared" si="2" ref="J30:J35">+CEILING(IF($J$24&lt;=G30,F30*0.3,0),0.05)</f>
        <v>14.4</v>
      </c>
      <c r="K30" s="26">
        <f aca="true" t="shared" si="3" ref="K30:K35">+CEILING(IF($K$24&lt;=G30,F30*0.3,0),0.05)</f>
        <v>0</v>
      </c>
      <c r="L30" s="26">
        <f aca="true" t="shared" si="4" ref="L30:L35">+CEILING(IF($L$24&lt;=G30,F30*0.3,0),0.05)</f>
        <v>0</v>
      </c>
      <c r="M30" s="26">
        <f aca="true" t="shared" si="5" ref="M30:M35">CEILING(IF($M$24&lt;=G30,F30*0.3,0),0.05)</f>
        <v>0</v>
      </c>
    </row>
    <row r="31" spans="1:13" ht="12.75">
      <c r="A31" s="21">
        <v>6</v>
      </c>
      <c r="B31" s="32" t="s">
        <v>109</v>
      </c>
      <c r="C31" s="17" t="s">
        <v>57</v>
      </c>
      <c r="D31" s="17" t="s">
        <v>65</v>
      </c>
      <c r="E31" s="23">
        <v>2014</v>
      </c>
      <c r="F31" s="24">
        <v>5.15</v>
      </c>
      <c r="G31" s="25">
        <v>2016</v>
      </c>
      <c r="I31" s="26">
        <f t="shared" si="1"/>
        <v>1.55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32" t="s">
        <v>209</v>
      </c>
      <c r="C32" s="44" t="s">
        <v>55</v>
      </c>
      <c r="D32" s="44" t="s">
        <v>143</v>
      </c>
      <c r="E32" s="23">
        <v>2015</v>
      </c>
      <c r="F32" s="24">
        <v>3</v>
      </c>
      <c r="G32" s="25">
        <v>2016</v>
      </c>
      <c r="I32" s="26">
        <f t="shared" si="1"/>
        <v>0.9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32"/>
      <c r="C33" s="44"/>
      <c r="D33" s="44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32"/>
      <c r="D34" s="17"/>
      <c r="E34" s="23"/>
      <c r="F34" s="24"/>
      <c r="G34" s="25"/>
      <c r="I34" s="26">
        <f t="shared" si="1"/>
        <v>0</v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</row>
    <row r="35" spans="1:13" ht="12.75">
      <c r="A35" s="21">
        <v>10</v>
      </c>
      <c r="B35" s="32"/>
      <c r="D35" s="17"/>
      <c r="E35" s="23"/>
      <c r="F35" s="24"/>
      <c r="G35" s="30"/>
      <c r="I35" s="26">
        <f t="shared" si="1"/>
        <v>0</v>
      </c>
      <c r="J35" s="26">
        <f t="shared" si="2"/>
        <v>0</v>
      </c>
      <c r="K35" s="26">
        <f t="shared" si="3"/>
        <v>0</v>
      </c>
      <c r="L35" s="26">
        <f t="shared" si="4"/>
        <v>0</v>
      </c>
      <c r="M35" s="26">
        <f t="shared" si="5"/>
        <v>0</v>
      </c>
    </row>
    <row r="36" spans="1:13" ht="12.75">
      <c r="A36" s="21">
        <v>11</v>
      </c>
      <c r="B36" s="32"/>
      <c r="C36" s="44"/>
      <c r="D36" s="44"/>
      <c r="E36" s="23"/>
      <c r="F36" s="24"/>
      <c r="G36" s="25"/>
      <c r="I36" s="26">
        <f>+CEILING(IF($I$24=E36,F36,IF($I$24&lt;=G36,F36*0.3,0)),0.05)</f>
        <v>0</v>
      </c>
      <c r="J36" s="26">
        <f>+CEILING(IF($J$24&lt;=G36,F36*0.3,0),0.05)</f>
        <v>0</v>
      </c>
      <c r="K36" s="26">
        <f>+CEILING(IF($K$24&lt;=G36,F36*0.3,0),0.05)</f>
        <v>0</v>
      </c>
      <c r="L36" s="26">
        <f>+CEILING(IF($L$24&lt;=G36,F36*0.3,0),0.05)</f>
        <v>0</v>
      </c>
      <c r="M36" s="26">
        <f>CEILING(IF($M$24&lt;=G36,F36*0.3,0),0.05)</f>
        <v>0</v>
      </c>
    </row>
    <row r="37" spans="9:13" ht="7.5" customHeight="1">
      <c r="I37" s="22"/>
      <c r="J37" s="22"/>
      <c r="K37" s="22"/>
      <c r="L37" s="22"/>
      <c r="M37" s="22"/>
    </row>
    <row r="38" spans="9:13" ht="12.75">
      <c r="I38" s="28">
        <f>+SUM(I26:I37)</f>
        <v>32.75</v>
      </c>
      <c r="J38" s="28">
        <f>+SUM(J26:J37)</f>
        <v>26</v>
      </c>
      <c r="K38" s="28">
        <f>+SUM(K26:K37)</f>
        <v>11.600000000000001</v>
      </c>
      <c r="L38" s="28">
        <f>+SUM(L26:L37)</f>
        <v>9.8</v>
      </c>
      <c r="M38" s="28">
        <f>+SUM(M26:M37)</f>
        <v>0</v>
      </c>
    </row>
    <row r="39" spans="9:13" ht="12.75">
      <c r="I39" s="29"/>
      <c r="J39" s="29"/>
      <c r="K39" s="29"/>
      <c r="L39" s="29"/>
      <c r="M39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Rittenhouse&amp;R&amp;"Copperplate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38</v>
      </c>
      <c r="C3" s="19" t="s">
        <v>39</v>
      </c>
      <c r="D3" s="19" t="s">
        <v>1</v>
      </c>
      <c r="E3" s="19" t="s">
        <v>40</v>
      </c>
      <c r="F3" s="19" t="s">
        <v>9</v>
      </c>
      <c r="G3" s="19" t="s">
        <v>41</v>
      </c>
      <c r="I3" s="20">
        <v>2016</v>
      </c>
      <c r="J3" s="20">
        <v>2017</v>
      </c>
      <c r="K3" s="20">
        <v>2018</v>
      </c>
      <c r="L3" s="20">
        <v>2019</v>
      </c>
      <c r="M3" s="20">
        <v>2020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42" t="s">
        <v>228</v>
      </c>
      <c r="C5" s="17" t="s">
        <v>48</v>
      </c>
      <c r="D5" s="44" t="s">
        <v>52</v>
      </c>
      <c r="E5" s="23" t="s">
        <v>221</v>
      </c>
      <c r="F5" s="24">
        <v>10.4</v>
      </c>
      <c r="G5" s="25">
        <v>2019</v>
      </c>
      <c r="I5" s="26">
        <f aca="true" t="shared" si="0" ref="I5:M19">+IF($G5&gt;=I$3,$F5,0)</f>
        <v>10.4</v>
      </c>
      <c r="J5" s="26">
        <f t="shared" si="0"/>
        <v>10.4</v>
      </c>
      <c r="K5" s="26">
        <f t="shared" si="0"/>
        <v>10.4</v>
      </c>
      <c r="L5" s="26">
        <f t="shared" si="0"/>
        <v>10.4</v>
      </c>
      <c r="M5" s="26">
        <f t="shared" si="0"/>
        <v>0</v>
      </c>
    </row>
    <row r="6" spans="1:13" ht="12.75">
      <c r="A6" s="21">
        <v>2</v>
      </c>
      <c r="B6" s="32" t="s">
        <v>328</v>
      </c>
      <c r="C6" s="44" t="s">
        <v>61</v>
      </c>
      <c r="D6" s="44" t="s">
        <v>62</v>
      </c>
      <c r="E6" s="43" t="s">
        <v>297</v>
      </c>
      <c r="F6" s="24">
        <v>7.7</v>
      </c>
      <c r="G6" s="25">
        <v>2019</v>
      </c>
      <c r="I6" s="26">
        <f t="shared" si="0"/>
        <v>7.7</v>
      </c>
      <c r="J6" s="26">
        <f t="shared" si="0"/>
        <v>7.7</v>
      </c>
      <c r="K6" s="26">
        <f t="shared" si="0"/>
        <v>7.7</v>
      </c>
      <c r="L6" s="26">
        <f t="shared" si="0"/>
        <v>7.7</v>
      </c>
      <c r="M6" s="26">
        <f t="shared" si="0"/>
        <v>0</v>
      </c>
    </row>
    <row r="7" spans="1:13" ht="12.75">
      <c r="A7" s="21">
        <v>3</v>
      </c>
      <c r="B7" s="42" t="s">
        <v>251</v>
      </c>
      <c r="C7" s="17" t="s">
        <v>55</v>
      </c>
      <c r="D7" s="44" t="s">
        <v>49</v>
      </c>
      <c r="E7" s="43" t="s">
        <v>242</v>
      </c>
      <c r="F7" s="24">
        <v>37.75</v>
      </c>
      <c r="G7" s="25">
        <v>2018</v>
      </c>
      <c r="I7" s="26">
        <f t="shared" si="0"/>
        <v>37.75</v>
      </c>
      <c r="J7" s="26">
        <f t="shared" si="0"/>
        <v>37.75</v>
      </c>
      <c r="K7" s="26">
        <f t="shared" si="0"/>
        <v>37.75</v>
      </c>
      <c r="L7" s="26">
        <f t="shared" si="0"/>
        <v>0</v>
      </c>
      <c r="M7" s="26">
        <f t="shared" si="0"/>
        <v>0</v>
      </c>
    </row>
    <row r="8" spans="1:13" ht="12.75">
      <c r="A8" s="21">
        <v>4</v>
      </c>
      <c r="B8" s="32" t="s">
        <v>326</v>
      </c>
      <c r="C8" s="44" t="s">
        <v>50</v>
      </c>
      <c r="D8" s="44" t="s">
        <v>72</v>
      </c>
      <c r="E8" s="43" t="s">
        <v>297</v>
      </c>
      <c r="F8" s="24">
        <v>28.25</v>
      </c>
      <c r="G8" s="25">
        <v>2018</v>
      </c>
      <c r="I8" s="26">
        <f t="shared" si="0"/>
        <v>28.25</v>
      </c>
      <c r="J8" s="26">
        <f t="shared" si="0"/>
        <v>28.25</v>
      </c>
      <c r="K8" s="26">
        <f t="shared" si="0"/>
        <v>28.25</v>
      </c>
      <c r="L8" s="26">
        <f t="shared" si="0"/>
        <v>0</v>
      </c>
      <c r="M8" s="26">
        <f t="shared" si="0"/>
        <v>0</v>
      </c>
    </row>
    <row r="9" spans="1:13" ht="12.75">
      <c r="A9" s="21">
        <v>5</v>
      </c>
      <c r="B9" s="22" t="s">
        <v>170</v>
      </c>
      <c r="C9" s="17" t="s">
        <v>48</v>
      </c>
      <c r="D9" s="44" t="s">
        <v>75</v>
      </c>
      <c r="E9" s="23" t="s">
        <v>168</v>
      </c>
      <c r="F9" s="24">
        <v>10.5</v>
      </c>
      <c r="G9" s="30">
        <v>2018</v>
      </c>
      <c r="I9" s="26">
        <f t="shared" si="0"/>
        <v>10.5</v>
      </c>
      <c r="J9" s="26">
        <f t="shared" si="0"/>
        <v>10.5</v>
      </c>
      <c r="K9" s="26">
        <f t="shared" si="0"/>
        <v>10.5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32" t="s">
        <v>196</v>
      </c>
      <c r="C10" s="44" t="s">
        <v>55</v>
      </c>
      <c r="D10" s="44" t="s">
        <v>51</v>
      </c>
      <c r="E10" s="43" t="s">
        <v>168</v>
      </c>
      <c r="F10" s="24">
        <v>3</v>
      </c>
      <c r="G10" s="25">
        <v>2018</v>
      </c>
      <c r="I10" s="26">
        <f t="shared" si="0"/>
        <v>3</v>
      </c>
      <c r="J10" s="26">
        <f t="shared" si="0"/>
        <v>3</v>
      </c>
      <c r="K10" s="26">
        <f t="shared" si="0"/>
        <v>3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42" t="s">
        <v>258</v>
      </c>
      <c r="C11" s="17" t="s">
        <v>61</v>
      </c>
      <c r="D11" s="17" t="s">
        <v>63</v>
      </c>
      <c r="E11" s="23" t="s">
        <v>242</v>
      </c>
      <c r="F11" s="24">
        <v>18.25</v>
      </c>
      <c r="G11" s="25">
        <v>2017</v>
      </c>
      <c r="I11" s="26">
        <f t="shared" si="0"/>
        <v>18.25</v>
      </c>
      <c r="J11" s="26">
        <f t="shared" si="0"/>
        <v>18.25</v>
      </c>
      <c r="K11" s="26">
        <f t="shared" si="0"/>
        <v>0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210</v>
      </c>
      <c r="C12" s="44" t="s">
        <v>55</v>
      </c>
      <c r="D12" s="44" t="s">
        <v>73</v>
      </c>
      <c r="E12" s="43" t="s">
        <v>163</v>
      </c>
      <c r="F12" s="24">
        <v>6.95</v>
      </c>
      <c r="G12" s="25">
        <v>2017</v>
      </c>
      <c r="I12" s="26">
        <f t="shared" si="0"/>
        <v>6.95</v>
      </c>
      <c r="J12" s="26">
        <f t="shared" si="0"/>
        <v>6.95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280</v>
      </c>
      <c r="C13" s="17" t="s">
        <v>53</v>
      </c>
      <c r="D13" s="17" t="s">
        <v>56</v>
      </c>
      <c r="E13" s="23" t="s">
        <v>271</v>
      </c>
      <c r="F13" s="24">
        <v>5.95</v>
      </c>
      <c r="G13" s="25">
        <v>2017</v>
      </c>
      <c r="I13" s="26">
        <f t="shared" si="0"/>
        <v>5.95</v>
      </c>
      <c r="J13" s="26">
        <f t="shared" si="0"/>
        <v>5.95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327</v>
      </c>
      <c r="C14" s="17" t="s">
        <v>55</v>
      </c>
      <c r="D14" s="17" t="s">
        <v>58</v>
      </c>
      <c r="E14" s="23" t="s">
        <v>297</v>
      </c>
      <c r="F14" s="24">
        <v>3.4</v>
      </c>
      <c r="G14" s="25">
        <v>2017</v>
      </c>
      <c r="I14" s="26">
        <f t="shared" si="0"/>
        <v>3.4</v>
      </c>
      <c r="J14" s="26">
        <f t="shared" si="0"/>
        <v>3.4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42" t="s">
        <v>250</v>
      </c>
      <c r="C15" s="44" t="s">
        <v>50</v>
      </c>
      <c r="D15" s="17" t="s">
        <v>74</v>
      </c>
      <c r="E15" s="23" t="s">
        <v>242</v>
      </c>
      <c r="F15" s="24">
        <v>10</v>
      </c>
      <c r="G15" s="69">
        <v>2016</v>
      </c>
      <c r="I15" s="26">
        <f t="shared" si="0"/>
        <v>10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204</v>
      </c>
      <c r="C16" s="17" t="s">
        <v>50</v>
      </c>
      <c r="D16" s="17" t="s">
        <v>43</v>
      </c>
      <c r="E16" s="23" t="s">
        <v>163</v>
      </c>
      <c r="F16" s="24">
        <v>8.25</v>
      </c>
      <c r="G16" s="25">
        <v>2016</v>
      </c>
      <c r="I16" s="26">
        <f t="shared" si="0"/>
        <v>8.25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16" t="s">
        <v>350</v>
      </c>
      <c r="C17" s="17" t="s">
        <v>57</v>
      </c>
      <c r="D17" s="17" t="s">
        <v>79</v>
      </c>
      <c r="E17" s="17" t="s">
        <v>336</v>
      </c>
      <c r="F17" s="24">
        <v>3.4</v>
      </c>
      <c r="G17" s="25">
        <v>2016</v>
      </c>
      <c r="I17" s="26">
        <f t="shared" si="0"/>
        <v>3.4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42" t="s">
        <v>351</v>
      </c>
      <c r="C18" s="17" t="s">
        <v>42</v>
      </c>
      <c r="D18" s="44" t="s">
        <v>46</v>
      </c>
      <c r="E18" s="23" t="s">
        <v>336</v>
      </c>
      <c r="F18" s="24">
        <v>3.4</v>
      </c>
      <c r="G18" s="25">
        <v>2016</v>
      </c>
      <c r="I18" s="26">
        <f t="shared" si="0"/>
        <v>3.4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6">
        <f t="shared" si="0"/>
        <v>0</v>
      </c>
      <c r="J19" s="26">
        <f t="shared" si="0"/>
        <v>0</v>
      </c>
      <c r="K19" s="26">
        <f t="shared" si="0"/>
        <v>0</v>
      </c>
      <c r="L19" s="26">
        <f t="shared" si="0"/>
        <v>0</v>
      </c>
      <c r="M19" s="26">
        <f t="shared" si="0"/>
        <v>0</v>
      </c>
    </row>
    <row r="20" spans="2:13" ht="12.75">
      <c r="B20" s="42"/>
      <c r="D20" s="17"/>
      <c r="E20" s="23"/>
      <c r="F20" s="24"/>
      <c r="G20" s="25"/>
      <c r="I20" s="28">
        <f>+SUM(I5:I18)</f>
        <v>157.20000000000002</v>
      </c>
      <c r="J20" s="28">
        <f>+SUM(J5:J18)</f>
        <v>132.15</v>
      </c>
      <c r="K20" s="28">
        <f>+SUM(K5:K18)</f>
        <v>97.6</v>
      </c>
      <c r="L20" s="28">
        <f>+SUM(L5:L18)</f>
        <v>18.1</v>
      </c>
      <c r="M20" s="28">
        <f>+SUM(M5:M18)</f>
        <v>0</v>
      </c>
    </row>
    <row r="22" spans="1:13" ht="15.75">
      <c r="A22" s="103" t="s">
        <v>59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38</v>
      </c>
      <c r="C24" s="19" t="s">
        <v>39</v>
      </c>
      <c r="D24" s="19" t="s">
        <v>1</v>
      </c>
      <c r="E24" s="19" t="s">
        <v>60</v>
      </c>
      <c r="F24" s="19" t="s">
        <v>9</v>
      </c>
      <c r="G24" s="19" t="s">
        <v>41</v>
      </c>
      <c r="I24" s="20">
        <f>+I$3</f>
        <v>2016</v>
      </c>
      <c r="J24" s="20">
        <f>+J$3</f>
        <v>2017</v>
      </c>
      <c r="K24" s="20">
        <f>+K$3</f>
        <v>2018</v>
      </c>
      <c r="L24" s="20">
        <f>+L$3</f>
        <v>2019</v>
      </c>
      <c r="M24" s="20">
        <f>+$M$3</f>
        <v>2020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42" t="s">
        <v>229</v>
      </c>
      <c r="C26" s="44" t="s">
        <v>57</v>
      </c>
      <c r="D26" s="44" t="s">
        <v>71</v>
      </c>
      <c r="E26" s="43">
        <v>2016</v>
      </c>
      <c r="F26" s="24">
        <v>3.2</v>
      </c>
      <c r="G26" s="69">
        <v>2019</v>
      </c>
      <c r="I26" s="26">
        <f aca="true" t="shared" si="1" ref="I26:I35">+CEILING(IF($I$24=E26,F26,IF($I$24&lt;=G26,F26*0.3,0)),0.05)</f>
        <v>3.2</v>
      </c>
      <c r="J26" s="26">
        <f aca="true" t="shared" si="2" ref="J26:J35">+CEILING(IF($J$24&lt;=G26,F26*0.3,0),0.05)</f>
        <v>1</v>
      </c>
      <c r="K26" s="26">
        <f aca="true" t="shared" si="3" ref="K26:K35">+CEILING(IF($K$24&lt;=G26,F26*0.3,0),0.05)</f>
        <v>1</v>
      </c>
      <c r="L26" s="26">
        <f aca="true" t="shared" si="4" ref="L26:L35">+CEILING(IF($L$24&lt;=G26,F26*0.3,0),0.05)</f>
        <v>1</v>
      </c>
      <c r="M26" s="26">
        <f aca="true" t="shared" si="5" ref="M26:M35">CEILING(IF($M$24&lt;=G26,F26*0.3,0),0.05)</f>
        <v>0</v>
      </c>
    </row>
    <row r="27" spans="1:13" ht="12.75">
      <c r="A27" s="21">
        <v>2</v>
      </c>
      <c r="B27" s="42" t="s">
        <v>261</v>
      </c>
      <c r="C27" s="17" t="s">
        <v>48</v>
      </c>
      <c r="D27" s="44" t="s">
        <v>69</v>
      </c>
      <c r="E27" s="23" t="s">
        <v>336</v>
      </c>
      <c r="F27" s="24">
        <v>3.45</v>
      </c>
      <c r="G27" s="25">
        <v>2017</v>
      </c>
      <c r="I27" s="26">
        <f t="shared" si="1"/>
        <v>1.05</v>
      </c>
      <c r="J27" s="26">
        <f t="shared" si="2"/>
        <v>1.05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16" t="s">
        <v>232</v>
      </c>
      <c r="C28" s="17" t="s">
        <v>55</v>
      </c>
      <c r="D28" s="17" t="s">
        <v>46</v>
      </c>
      <c r="E28" s="17" t="s">
        <v>336</v>
      </c>
      <c r="F28" s="24">
        <v>3.4</v>
      </c>
      <c r="G28" s="25">
        <v>2016</v>
      </c>
      <c r="I28" s="26">
        <f t="shared" si="1"/>
        <v>1.05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42"/>
      <c r="D29" s="17"/>
      <c r="E29" s="23"/>
      <c r="F29" s="24"/>
      <c r="G29" s="25"/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42"/>
      <c r="D30" s="17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/>
      <c r="D31" s="17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22"/>
      <c r="D34" s="17"/>
      <c r="E34" s="23"/>
      <c r="F34" s="24"/>
      <c r="G34" s="25"/>
      <c r="I34" s="26">
        <f t="shared" si="1"/>
        <v>0</v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</row>
    <row r="35" spans="1:13" ht="12.75">
      <c r="A35" s="21">
        <v>10</v>
      </c>
      <c r="B35" s="22"/>
      <c r="D35" s="17"/>
      <c r="E35" s="23"/>
      <c r="F35" s="24"/>
      <c r="G35" s="25"/>
      <c r="I35" s="26">
        <f t="shared" si="1"/>
        <v>0</v>
      </c>
      <c r="J35" s="26">
        <f t="shared" si="2"/>
        <v>0</v>
      </c>
      <c r="K35" s="26">
        <f t="shared" si="3"/>
        <v>0</v>
      </c>
      <c r="L35" s="26">
        <f t="shared" si="4"/>
        <v>0</v>
      </c>
      <c r="M35" s="26">
        <f t="shared" si="5"/>
        <v>0</v>
      </c>
    </row>
    <row r="36" spans="9:13" ht="7.5" customHeight="1">
      <c r="I36" s="22"/>
      <c r="J36" s="22"/>
      <c r="K36" s="22"/>
      <c r="L36" s="22"/>
      <c r="M36" s="22"/>
    </row>
    <row r="37" spans="9:13" ht="12.75">
      <c r="I37" s="28">
        <f>+SUM(I26:I36)</f>
        <v>5.3</v>
      </c>
      <c r="J37" s="28">
        <f>+SUM(J26:J36)</f>
        <v>2.05</v>
      </c>
      <c r="K37" s="28">
        <f>+SUM(K26:K36)</f>
        <v>1</v>
      </c>
      <c r="L37" s="28">
        <f>+SUM(L26:L36)</f>
        <v>1</v>
      </c>
      <c r="M37" s="28">
        <f>+SUM(M26:M36)</f>
        <v>0</v>
      </c>
    </row>
    <row r="38" spans="9:13" ht="12.75">
      <c r="I38" s="29"/>
      <c r="J38" s="29"/>
      <c r="K38" s="29"/>
      <c r="L38" s="29"/>
      <c r="M38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Light,Bold"&amp;14Garen Gotfredson&amp;R&amp;"Copperplate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38</v>
      </c>
      <c r="C3" s="19" t="s">
        <v>39</v>
      </c>
      <c r="D3" s="19" t="s">
        <v>1</v>
      </c>
      <c r="E3" s="19" t="s">
        <v>40</v>
      </c>
      <c r="F3" s="19" t="s">
        <v>9</v>
      </c>
      <c r="G3" s="19" t="s">
        <v>41</v>
      </c>
      <c r="I3" s="20">
        <v>2016</v>
      </c>
      <c r="J3" s="20">
        <v>2017</v>
      </c>
      <c r="K3" s="20">
        <v>2018</v>
      </c>
      <c r="L3" s="20">
        <v>2019</v>
      </c>
      <c r="M3" s="20">
        <v>2020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316</v>
      </c>
      <c r="C5" s="44" t="s">
        <v>55</v>
      </c>
      <c r="D5" s="44" t="s">
        <v>301</v>
      </c>
      <c r="E5" s="43" t="s">
        <v>297</v>
      </c>
      <c r="F5" s="24">
        <v>17.25</v>
      </c>
      <c r="G5" s="25">
        <v>2020</v>
      </c>
      <c r="I5" s="26">
        <f aca="true" t="shared" si="0" ref="I5:M18">+IF($G5&gt;=I$3,$F5,0)</f>
        <v>17.25</v>
      </c>
      <c r="J5" s="26">
        <f t="shared" si="0"/>
        <v>17.25</v>
      </c>
      <c r="K5" s="26">
        <f t="shared" si="0"/>
        <v>17.25</v>
      </c>
      <c r="L5" s="26">
        <f t="shared" si="0"/>
        <v>17.25</v>
      </c>
      <c r="M5" s="26">
        <f t="shared" si="0"/>
        <v>17.25</v>
      </c>
    </row>
    <row r="6" spans="1:13" ht="12.75">
      <c r="A6" s="21">
        <v>2</v>
      </c>
      <c r="B6" s="32" t="s">
        <v>276</v>
      </c>
      <c r="C6" s="17" t="s">
        <v>48</v>
      </c>
      <c r="D6" s="46" t="s">
        <v>79</v>
      </c>
      <c r="E6" s="23" t="s">
        <v>271</v>
      </c>
      <c r="F6" s="24">
        <v>8.5</v>
      </c>
      <c r="G6" s="25">
        <v>2020</v>
      </c>
      <c r="I6" s="26">
        <f t="shared" si="0"/>
        <v>8.5</v>
      </c>
      <c r="J6" s="26">
        <f t="shared" si="0"/>
        <v>8.5</v>
      </c>
      <c r="K6" s="26">
        <f t="shared" si="0"/>
        <v>8.5</v>
      </c>
      <c r="L6" s="26">
        <f t="shared" si="0"/>
        <v>8.5</v>
      </c>
      <c r="M6" s="26">
        <f t="shared" si="0"/>
        <v>8.5</v>
      </c>
    </row>
    <row r="7" spans="1:13" ht="12.75">
      <c r="A7" s="21">
        <v>3</v>
      </c>
      <c r="B7" s="32" t="s">
        <v>290</v>
      </c>
      <c r="C7" s="44" t="s">
        <v>61</v>
      </c>
      <c r="D7" s="44" t="s">
        <v>75</v>
      </c>
      <c r="E7" s="43" t="s">
        <v>271</v>
      </c>
      <c r="F7" s="24">
        <v>3.4</v>
      </c>
      <c r="G7" s="25">
        <v>2020</v>
      </c>
      <c r="I7" s="26">
        <f t="shared" si="0"/>
        <v>3.4</v>
      </c>
      <c r="J7" s="26">
        <f t="shared" si="0"/>
        <v>3.4</v>
      </c>
      <c r="K7" s="26">
        <f t="shared" si="0"/>
        <v>3.4</v>
      </c>
      <c r="L7" s="26">
        <f t="shared" si="0"/>
        <v>3.4</v>
      </c>
      <c r="M7" s="26">
        <f t="shared" si="0"/>
        <v>3.4</v>
      </c>
    </row>
    <row r="8" spans="1:13" ht="12.75">
      <c r="A8" s="21">
        <v>4</v>
      </c>
      <c r="B8" s="32" t="s">
        <v>306</v>
      </c>
      <c r="C8" s="44" t="s">
        <v>45</v>
      </c>
      <c r="D8" s="44" t="s">
        <v>71</v>
      </c>
      <c r="E8" s="43" t="s">
        <v>297</v>
      </c>
      <c r="F8" s="24">
        <v>3.4</v>
      </c>
      <c r="G8" s="25">
        <v>2020</v>
      </c>
      <c r="I8" s="26">
        <f t="shared" si="0"/>
        <v>3.4</v>
      </c>
      <c r="J8" s="26">
        <f t="shared" si="0"/>
        <v>3.4</v>
      </c>
      <c r="K8" s="26">
        <f t="shared" si="0"/>
        <v>3.4</v>
      </c>
      <c r="L8" s="26">
        <f t="shared" si="0"/>
        <v>3.4</v>
      </c>
      <c r="M8" s="26">
        <f t="shared" si="0"/>
        <v>3.4</v>
      </c>
    </row>
    <row r="9" spans="1:13" ht="12.75">
      <c r="A9" s="21">
        <v>5</v>
      </c>
      <c r="B9" s="32" t="s">
        <v>305</v>
      </c>
      <c r="C9" s="17" t="s">
        <v>42</v>
      </c>
      <c r="D9" s="17" t="s">
        <v>301</v>
      </c>
      <c r="E9" s="23" t="s">
        <v>297</v>
      </c>
      <c r="F9" s="24">
        <v>28.1</v>
      </c>
      <c r="G9" s="25">
        <v>2019</v>
      </c>
      <c r="I9" s="26">
        <f t="shared" si="0"/>
        <v>28.1</v>
      </c>
      <c r="J9" s="26">
        <f t="shared" si="0"/>
        <v>28.1</v>
      </c>
      <c r="K9" s="26">
        <f t="shared" si="0"/>
        <v>28.1</v>
      </c>
      <c r="L9" s="26">
        <f t="shared" si="0"/>
        <v>28.1</v>
      </c>
      <c r="M9" s="26">
        <f t="shared" si="0"/>
        <v>0</v>
      </c>
    </row>
    <row r="10" spans="1:13" ht="12.75">
      <c r="A10" s="21">
        <v>6</v>
      </c>
      <c r="B10" s="32" t="s">
        <v>239</v>
      </c>
      <c r="C10" s="17" t="s">
        <v>57</v>
      </c>
      <c r="D10" s="17" t="s">
        <v>76</v>
      </c>
      <c r="E10" s="23" t="s">
        <v>221</v>
      </c>
      <c r="F10" s="24">
        <v>3.2</v>
      </c>
      <c r="G10" s="25">
        <v>2019</v>
      </c>
      <c r="I10" s="26">
        <f t="shared" si="0"/>
        <v>3.2</v>
      </c>
      <c r="J10" s="26">
        <f t="shared" si="0"/>
        <v>3.2</v>
      </c>
      <c r="K10" s="26">
        <f t="shared" si="0"/>
        <v>3.2</v>
      </c>
      <c r="L10" s="26">
        <f t="shared" si="0"/>
        <v>3.2</v>
      </c>
      <c r="M10" s="26">
        <f t="shared" si="0"/>
        <v>0</v>
      </c>
    </row>
    <row r="11" spans="1:13" ht="12.75">
      <c r="A11" s="21">
        <v>7</v>
      </c>
      <c r="B11" s="32" t="s">
        <v>264</v>
      </c>
      <c r="C11" s="17" t="s">
        <v>42</v>
      </c>
      <c r="D11" s="46" t="s">
        <v>47</v>
      </c>
      <c r="E11" s="23" t="s">
        <v>242</v>
      </c>
      <c r="F11" s="24">
        <v>5.75</v>
      </c>
      <c r="G11" s="25">
        <v>2018</v>
      </c>
      <c r="I11" s="26">
        <f t="shared" si="0"/>
        <v>5.75</v>
      </c>
      <c r="J11" s="26">
        <f t="shared" si="0"/>
        <v>5.75</v>
      </c>
      <c r="K11" s="26">
        <f t="shared" si="0"/>
        <v>5.75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252</v>
      </c>
      <c r="C12" s="44" t="s">
        <v>42</v>
      </c>
      <c r="D12" s="44" t="s">
        <v>83</v>
      </c>
      <c r="E12" s="43" t="s">
        <v>242</v>
      </c>
      <c r="F12" s="24">
        <v>29.95</v>
      </c>
      <c r="G12" s="25">
        <v>2017</v>
      </c>
      <c r="I12" s="26">
        <f t="shared" si="0"/>
        <v>29.95</v>
      </c>
      <c r="J12" s="26">
        <f t="shared" si="0"/>
        <v>29.95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203</v>
      </c>
      <c r="C13" s="17" t="s">
        <v>45</v>
      </c>
      <c r="D13" s="17" t="s">
        <v>54</v>
      </c>
      <c r="E13" s="23" t="s">
        <v>163</v>
      </c>
      <c r="F13" s="24">
        <v>10.45</v>
      </c>
      <c r="G13" s="25">
        <v>2017</v>
      </c>
      <c r="I13" s="26">
        <f t="shared" si="0"/>
        <v>10.45</v>
      </c>
      <c r="J13" s="26">
        <f t="shared" si="0"/>
        <v>10.45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120</v>
      </c>
      <c r="C14" s="44" t="s">
        <v>50</v>
      </c>
      <c r="D14" s="44" t="s">
        <v>69</v>
      </c>
      <c r="E14" s="43" t="s">
        <v>200</v>
      </c>
      <c r="F14" s="24">
        <v>7.7</v>
      </c>
      <c r="G14" s="25">
        <v>2016</v>
      </c>
      <c r="I14" s="26">
        <f t="shared" si="0"/>
        <v>7.7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181</v>
      </c>
      <c r="C15" s="17" t="s">
        <v>55</v>
      </c>
      <c r="D15" s="17" t="s">
        <v>68</v>
      </c>
      <c r="E15" s="23" t="s">
        <v>163</v>
      </c>
      <c r="F15" s="24">
        <v>6</v>
      </c>
      <c r="G15" s="25">
        <v>2016</v>
      </c>
      <c r="I15" s="26">
        <f t="shared" si="0"/>
        <v>6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106</v>
      </c>
      <c r="C16" s="17" t="s">
        <v>66</v>
      </c>
      <c r="D16" s="17" t="s">
        <v>68</v>
      </c>
      <c r="E16" s="23" t="s">
        <v>200</v>
      </c>
      <c r="F16" s="24">
        <v>2.6</v>
      </c>
      <c r="G16" s="25">
        <v>2016</v>
      </c>
      <c r="I16" s="26">
        <f t="shared" si="0"/>
        <v>2.6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22" t="s">
        <v>98</v>
      </c>
      <c r="C17" s="17" t="s">
        <v>66</v>
      </c>
      <c r="D17" s="44" t="s">
        <v>73</v>
      </c>
      <c r="E17" s="23" t="s">
        <v>200</v>
      </c>
      <c r="F17" s="24">
        <v>2.6</v>
      </c>
      <c r="G17" s="25">
        <v>2016</v>
      </c>
      <c r="I17" s="26">
        <f t="shared" si="0"/>
        <v>2.6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22"/>
      <c r="D18" s="17"/>
      <c r="E18" s="23"/>
      <c r="F18" s="24"/>
      <c r="G18" s="25"/>
      <c r="I18" s="26">
        <f t="shared" si="0"/>
        <v>0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22"/>
      <c r="D20" s="17"/>
      <c r="E20" s="23"/>
      <c r="F20" s="24"/>
      <c r="G20" s="25"/>
      <c r="I20" s="28">
        <f>+SUM(I5:I18)</f>
        <v>128.9</v>
      </c>
      <c r="J20" s="28">
        <f>+SUM(J5:J18)</f>
        <v>110</v>
      </c>
      <c r="K20" s="28">
        <f>+SUM(K5:K18)</f>
        <v>69.6</v>
      </c>
      <c r="L20" s="28">
        <f>+SUM(L5:L18)</f>
        <v>63.85</v>
      </c>
      <c r="M20" s="28">
        <f>+SUM(M5:M18)</f>
        <v>32.55</v>
      </c>
    </row>
    <row r="22" spans="1:13" ht="15.75">
      <c r="A22" s="103" t="s">
        <v>59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38</v>
      </c>
      <c r="C24" s="19" t="s">
        <v>39</v>
      </c>
      <c r="D24" s="19" t="s">
        <v>1</v>
      </c>
      <c r="E24" s="19" t="s">
        <v>60</v>
      </c>
      <c r="F24" s="19" t="s">
        <v>9</v>
      </c>
      <c r="G24" s="19" t="s">
        <v>41</v>
      </c>
      <c r="I24" s="20">
        <f>+I$3</f>
        <v>2016</v>
      </c>
      <c r="J24" s="20">
        <f>+J$3</f>
        <v>2017</v>
      </c>
      <c r="K24" s="20">
        <f>+K$3</f>
        <v>2018</v>
      </c>
      <c r="L24" s="20">
        <f>+L$3</f>
        <v>2019</v>
      </c>
      <c r="M24" s="20">
        <f>+M$3</f>
        <v>2020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166</v>
      </c>
      <c r="C26" s="44" t="s">
        <v>42</v>
      </c>
      <c r="D26" s="44" t="s">
        <v>72</v>
      </c>
      <c r="E26" s="43">
        <v>2015</v>
      </c>
      <c r="F26" s="24">
        <v>41.5</v>
      </c>
      <c r="G26" s="25">
        <v>2017</v>
      </c>
      <c r="I26" s="26">
        <f aca="true" t="shared" si="1" ref="I26:I35">+CEILING(IF($I$24=E26,F26,IF($I$24&lt;=G26,F26*0.3,0)),0.05)</f>
        <v>12.450000000000001</v>
      </c>
      <c r="J26" s="26">
        <f aca="true" t="shared" si="2" ref="J26:J35">+CEILING(IF($J$24&lt;=G26,F26*0.3,0),0.05)</f>
        <v>12.450000000000001</v>
      </c>
      <c r="K26" s="26">
        <f aca="true" t="shared" si="3" ref="K26:K35">+CEILING(IF($K$24&lt;=G26,F26*0.3,0),0.05)</f>
        <v>0</v>
      </c>
      <c r="L26" s="26">
        <f aca="true" t="shared" si="4" ref="L26:L35">+CEILING(IF($L$24&lt;=G26,F26*0.3,0),0.05)</f>
        <v>0</v>
      </c>
      <c r="M26" s="26">
        <f aca="true" t="shared" si="5" ref="M26:M35">CEILING(IF($M$24&lt;=G26,F26*0.3,0),0.05)</f>
        <v>0</v>
      </c>
    </row>
    <row r="27" spans="1:13" ht="12.75">
      <c r="A27" s="21">
        <v>2</v>
      </c>
      <c r="B27" s="22" t="s">
        <v>128</v>
      </c>
      <c r="C27" s="17" t="s">
        <v>61</v>
      </c>
      <c r="D27" s="17" t="s">
        <v>75</v>
      </c>
      <c r="E27" s="23">
        <v>2015</v>
      </c>
      <c r="F27" s="24">
        <v>20.3</v>
      </c>
      <c r="G27" s="25">
        <v>2016</v>
      </c>
      <c r="I27" s="26">
        <f t="shared" si="1"/>
        <v>6.1000000000000005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32" t="s">
        <v>105</v>
      </c>
      <c r="C28" s="44" t="s">
        <v>42</v>
      </c>
      <c r="D28" s="44" t="s">
        <v>69</v>
      </c>
      <c r="E28" s="43">
        <v>2013</v>
      </c>
      <c r="F28" s="24">
        <v>3.2</v>
      </c>
      <c r="G28" s="25">
        <v>2016</v>
      </c>
      <c r="I28" s="26">
        <f t="shared" si="1"/>
        <v>1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32"/>
      <c r="D29" s="17"/>
      <c r="E29" s="23"/>
      <c r="F29" s="24"/>
      <c r="G29" s="25"/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32"/>
      <c r="D30" s="17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/>
      <c r="D31" s="17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22"/>
      <c r="D34" s="17"/>
      <c r="E34" s="23"/>
      <c r="F34" s="24"/>
      <c r="G34" s="25"/>
      <c r="I34" s="26">
        <f t="shared" si="1"/>
        <v>0</v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</row>
    <row r="35" spans="1:13" ht="12.75">
      <c r="A35" s="21">
        <v>10</v>
      </c>
      <c r="B35" s="22"/>
      <c r="D35" s="17"/>
      <c r="E35" s="23"/>
      <c r="F35" s="24"/>
      <c r="G35" s="30"/>
      <c r="I35" s="26">
        <f t="shared" si="1"/>
        <v>0</v>
      </c>
      <c r="J35" s="26">
        <f t="shared" si="2"/>
        <v>0</v>
      </c>
      <c r="K35" s="26">
        <f t="shared" si="3"/>
        <v>0</v>
      </c>
      <c r="L35" s="26">
        <f t="shared" si="4"/>
        <v>0</v>
      </c>
      <c r="M35" s="26">
        <f t="shared" si="5"/>
        <v>0</v>
      </c>
    </row>
    <row r="36" spans="9:13" ht="7.5" customHeight="1">
      <c r="I36" s="22"/>
      <c r="J36" s="22"/>
      <c r="K36" s="22"/>
      <c r="L36" s="22"/>
      <c r="M36" s="22"/>
    </row>
    <row r="37" spans="9:13" ht="12.75">
      <c r="I37" s="28">
        <f>+SUM(I26:I36)</f>
        <v>19.55</v>
      </c>
      <c r="J37" s="28">
        <f>+SUM(J26:J36)</f>
        <v>12.450000000000001</v>
      </c>
      <c r="K37" s="28">
        <f>+SUM(K26:K36)</f>
        <v>0</v>
      </c>
      <c r="L37" s="28">
        <f>+SUM(L26:L36)</f>
        <v>0</v>
      </c>
      <c r="M37" s="28">
        <f>+SUM(M26:M36)</f>
        <v>0</v>
      </c>
    </row>
    <row r="38" spans="9:13" ht="12.75">
      <c r="I38" s="29"/>
      <c r="J38" s="29"/>
      <c r="K38" s="29"/>
      <c r="L38" s="29"/>
      <c r="M38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Light,Bold"&amp;14Pete Furrer&amp;R&amp;"Copperplate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38</v>
      </c>
      <c r="C3" s="19" t="s">
        <v>39</v>
      </c>
      <c r="D3" s="19" t="s">
        <v>1</v>
      </c>
      <c r="E3" s="19" t="s">
        <v>40</v>
      </c>
      <c r="F3" s="19" t="s">
        <v>9</v>
      </c>
      <c r="G3" s="19" t="s">
        <v>41</v>
      </c>
      <c r="I3" s="20">
        <v>2016</v>
      </c>
      <c r="J3" s="20">
        <v>2017</v>
      </c>
      <c r="K3" s="20">
        <v>2018</v>
      </c>
      <c r="L3" s="20">
        <v>2019</v>
      </c>
      <c r="M3" s="20">
        <v>2020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281</v>
      </c>
      <c r="C5" s="17" t="s">
        <v>48</v>
      </c>
      <c r="D5" s="17" t="s">
        <v>83</v>
      </c>
      <c r="E5" s="23" t="s">
        <v>271</v>
      </c>
      <c r="F5" s="24">
        <v>5.1</v>
      </c>
      <c r="G5" s="25">
        <v>2020</v>
      </c>
      <c r="I5" s="26">
        <f aca="true" t="shared" si="0" ref="I5:M18">+IF($G5&gt;=I$3,$F5,0)</f>
        <v>5.1</v>
      </c>
      <c r="J5" s="26">
        <f t="shared" si="0"/>
        <v>5.1</v>
      </c>
      <c r="K5" s="26">
        <f t="shared" si="0"/>
        <v>5.1</v>
      </c>
      <c r="L5" s="26">
        <f t="shared" si="0"/>
        <v>5.1</v>
      </c>
      <c r="M5" s="26">
        <f t="shared" si="0"/>
        <v>5.1</v>
      </c>
    </row>
    <row r="6" spans="1:13" ht="12.75">
      <c r="A6" s="21">
        <v>2</v>
      </c>
      <c r="B6" s="22" t="s">
        <v>177</v>
      </c>
      <c r="C6" s="17" t="s">
        <v>55</v>
      </c>
      <c r="D6" s="17" t="s">
        <v>68</v>
      </c>
      <c r="E6" s="23" t="s">
        <v>163</v>
      </c>
      <c r="F6" s="24">
        <v>45.15</v>
      </c>
      <c r="G6" s="25">
        <v>2018</v>
      </c>
      <c r="I6" s="26">
        <f t="shared" si="0"/>
        <v>45.15</v>
      </c>
      <c r="J6" s="26">
        <f t="shared" si="0"/>
        <v>45.15</v>
      </c>
      <c r="K6" s="26">
        <f t="shared" si="0"/>
        <v>45.15</v>
      </c>
      <c r="L6" s="26">
        <f t="shared" si="0"/>
        <v>0</v>
      </c>
      <c r="M6" s="26">
        <f t="shared" si="0"/>
        <v>0</v>
      </c>
    </row>
    <row r="7" spans="1:13" ht="12.75">
      <c r="A7" s="21">
        <v>3</v>
      </c>
      <c r="B7" s="32" t="s">
        <v>300</v>
      </c>
      <c r="C7" s="17" t="s">
        <v>61</v>
      </c>
      <c r="D7" s="17" t="s">
        <v>301</v>
      </c>
      <c r="E7" s="23" t="s">
        <v>297</v>
      </c>
      <c r="F7" s="24">
        <v>22.6</v>
      </c>
      <c r="G7" s="25">
        <v>2018</v>
      </c>
      <c r="I7" s="26">
        <f t="shared" si="0"/>
        <v>22.6</v>
      </c>
      <c r="J7" s="26">
        <f t="shared" si="0"/>
        <v>22.6</v>
      </c>
      <c r="K7" s="26">
        <f t="shared" si="0"/>
        <v>22.6</v>
      </c>
      <c r="L7" s="26">
        <f t="shared" si="0"/>
        <v>0</v>
      </c>
      <c r="M7" s="26">
        <f t="shared" si="0"/>
        <v>0</v>
      </c>
    </row>
    <row r="8" spans="1:13" ht="12.75">
      <c r="A8" s="21">
        <v>4</v>
      </c>
      <c r="B8" s="32" t="s">
        <v>332</v>
      </c>
      <c r="C8" s="44" t="s">
        <v>55</v>
      </c>
      <c r="D8" s="44" t="s">
        <v>143</v>
      </c>
      <c r="E8" s="43" t="s">
        <v>297</v>
      </c>
      <c r="F8" s="24">
        <v>8.2</v>
      </c>
      <c r="G8" s="25">
        <v>2018</v>
      </c>
      <c r="I8" s="26">
        <f t="shared" si="0"/>
        <v>8.2</v>
      </c>
      <c r="J8" s="26">
        <f t="shared" si="0"/>
        <v>8.2</v>
      </c>
      <c r="K8" s="26">
        <f t="shared" si="0"/>
        <v>8.2</v>
      </c>
      <c r="L8" s="26">
        <f t="shared" si="0"/>
        <v>0</v>
      </c>
      <c r="M8" s="26">
        <f t="shared" si="0"/>
        <v>0</v>
      </c>
    </row>
    <row r="9" spans="1:13" ht="12.75">
      <c r="A9" s="21">
        <v>5</v>
      </c>
      <c r="B9" s="32" t="s">
        <v>295</v>
      </c>
      <c r="D9" s="17" t="s">
        <v>62</v>
      </c>
      <c r="E9" s="23" t="s">
        <v>271</v>
      </c>
      <c r="F9" s="24">
        <v>3.4</v>
      </c>
      <c r="G9" s="25">
        <v>2018</v>
      </c>
      <c r="I9" s="26">
        <f t="shared" si="0"/>
        <v>3.4</v>
      </c>
      <c r="J9" s="26">
        <f t="shared" si="0"/>
        <v>3.4</v>
      </c>
      <c r="K9" s="26">
        <f t="shared" si="0"/>
        <v>3.4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32" t="s">
        <v>149</v>
      </c>
      <c r="C10" s="17" t="s">
        <v>50</v>
      </c>
      <c r="D10" s="17" t="s">
        <v>83</v>
      </c>
      <c r="E10" s="23" t="s">
        <v>44</v>
      </c>
      <c r="F10" s="24">
        <v>44.2</v>
      </c>
      <c r="G10" s="25">
        <v>2017</v>
      </c>
      <c r="I10" s="26">
        <f t="shared" si="0"/>
        <v>44.2</v>
      </c>
      <c r="J10" s="26">
        <f t="shared" si="0"/>
        <v>44.2</v>
      </c>
      <c r="K10" s="26">
        <f t="shared" si="0"/>
        <v>0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22" t="s">
        <v>141</v>
      </c>
      <c r="C11" s="17" t="s">
        <v>55</v>
      </c>
      <c r="D11" s="17" t="s">
        <v>47</v>
      </c>
      <c r="E11" s="23" t="s">
        <v>199</v>
      </c>
      <c r="F11" s="24">
        <v>5.6</v>
      </c>
      <c r="G11" s="25">
        <v>2017</v>
      </c>
      <c r="I11" s="26">
        <f t="shared" si="0"/>
        <v>5.6</v>
      </c>
      <c r="J11" s="26">
        <f t="shared" si="0"/>
        <v>5.6</v>
      </c>
      <c r="K11" s="26">
        <f t="shared" si="0"/>
        <v>0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22" t="s">
        <v>293</v>
      </c>
      <c r="C12" s="17" t="s">
        <v>66</v>
      </c>
      <c r="D12" s="17" t="s">
        <v>64</v>
      </c>
      <c r="E12" s="23" t="s">
        <v>199</v>
      </c>
      <c r="F12" s="24">
        <v>4.2</v>
      </c>
      <c r="G12" s="25">
        <v>2017</v>
      </c>
      <c r="I12" s="26">
        <f t="shared" si="0"/>
        <v>4.2</v>
      </c>
      <c r="J12" s="26">
        <f t="shared" si="0"/>
        <v>4.2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282</v>
      </c>
      <c r="C13" s="44" t="s">
        <v>66</v>
      </c>
      <c r="D13" s="44" t="s">
        <v>58</v>
      </c>
      <c r="E13" s="23" t="s">
        <v>271</v>
      </c>
      <c r="F13" s="24">
        <v>3.85</v>
      </c>
      <c r="G13" s="25">
        <v>2017</v>
      </c>
      <c r="I13" s="26">
        <f t="shared" si="0"/>
        <v>3.85</v>
      </c>
      <c r="J13" s="26">
        <f t="shared" si="0"/>
        <v>3.85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312</v>
      </c>
      <c r="C14" s="44" t="s">
        <v>42</v>
      </c>
      <c r="D14" s="17" t="s">
        <v>74</v>
      </c>
      <c r="E14" s="23" t="s">
        <v>297</v>
      </c>
      <c r="F14" s="24">
        <v>3.4</v>
      </c>
      <c r="G14" s="25">
        <v>2017</v>
      </c>
      <c r="I14" s="26">
        <f t="shared" si="0"/>
        <v>3.4</v>
      </c>
      <c r="J14" s="26">
        <f t="shared" si="0"/>
        <v>3.4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257</v>
      </c>
      <c r="C15" s="44" t="s">
        <v>42</v>
      </c>
      <c r="D15" s="17" t="s">
        <v>68</v>
      </c>
      <c r="E15" s="23" t="s">
        <v>242</v>
      </c>
      <c r="F15" s="24">
        <v>3.2</v>
      </c>
      <c r="G15" s="25">
        <v>2017</v>
      </c>
      <c r="I15" s="26">
        <f t="shared" si="0"/>
        <v>3.2</v>
      </c>
      <c r="J15" s="26">
        <f t="shared" si="0"/>
        <v>3.2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360</v>
      </c>
      <c r="C16" s="17" t="s">
        <v>50</v>
      </c>
      <c r="D16" s="17" t="s">
        <v>76</v>
      </c>
      <c r="E16" s="23" t="s">
        <v>336</v>
      </c>
      <c r="F16" s="24">
        <v>3.4</v>
      </c>
      <c r="G16" s="25">
        <v>2016</v>
      </c>
      <c r="I16" s="26">
        <f t="shared" si="0"/>
        <v>3.4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307</v>
      </c>
      <c r="C17" s="44" t="s">
        <v>55</v>
      </c>
      <c r="D17" s="44" t="s">
        <v>58</v>
      </c>
      <c r="E17" s="43" t="s">
        <v>336</v>
      </c>
      <c r="F17" s="24">
        <v>3.4</v>
      </c>
      <c r="G17" s="25">
        <v>2016</v>
      </c>
      <c r="I17" s="26">
        <f t="shared" si="0"/>
        <v>3.4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358</v>
      </c>
      <c r="C18" s="44" t="s">
        <v>66</v>
      </c>
      <c r="D18" s="17" t="s">
        <v>143</v>
      </c>
      <c r="E18" s="23" t="s">
        <v>336</v>
      </c>
      <c r="F18" s="24">
        <v>3.4</v>
      </c>
      <c r="G18" s="25">
        <v>2016</v>
      </c>
      <c r="I18" s="26">
        <f t="shared" si="0"/>
        <v>3.4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32"/>
      <c r="D20" s="17"/>
      <c r="E20" s="23"/>
      <c r="F20" s="24"/>
      <c r="G20" s="25"/>
      <c r="I20" s="28">
        <f>+SUM(I5:I18)</f>
        <v>159.1</v>
      </c>
      <c r="J20" s="28">
        <f>+SUM(J5:J18)</f>
        <v>148.89999999999998</v>
      </c>
      <c r="K20" s="28">
        <f>+SUM(K5:K18)</f>
        <v>84.45</v>
      </c>
      <c r="L20" s="28">
        <f>+SUM(L5:L18)</f>
        <v>5.1</v>
      </c>
      <c r="M20" s="28">
        <f>+SUM(M5:M18)</f>
        <v>5.1</v>
      </c>
    </row>
    <row r="22" spans="1:13" ht="15.75">
      <c r="A22" s="103" t="s">
        <v>59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38</v>
      </c>
      <c r="C24" s="19" t="s">
        <v>39</v>
      </c>
      <c r="D24" s="19" t="s">
        <v>1</v>
      </c>
      <c r="E24" s="19" t="s">
        <v>60</v>
      </c>
      <c r="F24" s="19" t="s">
        <v>9</v>
      </c>
      <c r="G24" s="19" t="s">
        <v>41</v>
      </c>
      <c r="I24" s="20">
        <f>+I$3</f>
        <v>2016</v>
      </c>
      <c r="J24" s="20">
        <f>+J$3</f>
        <v>2017</v>
      </c>
      <c r="K24" s="20">
        <f>+K$3</f>
        <v>2018</v>
      </c>
      <c r="L24" s="20">
        <f>+L$3</f>
        <v>2019</v>
      </c>
      <c r="M24" s="20">
        <f>+M$3</f>
        <v>2020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226</v>
      </c>
      <c r="C26" s="17" t="s">
        <v>48</v>
      </c>
      <c r="D26" s="17" t="s">
        <v>47</v>
      </c>
      <c r="E26" s="23">
        <v>2016</v>
      </c>
      <c r="F26" s="24">
        <v>3.2</v>
      </c>
      <c r="G26" s="25">
        <v>2017</v>
      </c>
      <c r="I26" s="26">
        <f aca="true" t="shared" si="1" ref="I26:I33">+CEILING(IF($I$24=E26,F26,IF($I$24&lt;=G26,F26*0.3,0)),0.05)</f>
        <v>3.2</v>
      </c>
      <c r="J26" s="26">
        <f aca="true" t="shared" si="2" ref="J26:J33">+CEILING(IF($J$24&lt;=G26,F26*0.3,0),0.05)</f>
        <v>1</v>
      </c>
      <c r="K26" s="26">
        <f aca="true" t="shared" si="3" ref="K26:K33">+CEILING(IF($K$24&lt;=G26,F26*0.3,0),0.05)</f>
        <v>0</v>
      </c>
      <c r="L26" s="26">
        <f aca="true" t="shared" si="4" ref="L26:L33">+CEILING(IF($L$24&lt;=G26,F26*0.3,0),0.05)</f>
        <v>0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22" t="s">
        <v>267</v>
      </c>
      <c r="C27" s="17" t="s">
        <v>55</v>
      </c>
      <c r="D27" s="17" t="s">
        <v>64</v>
      </c>
      <c r="E27" s="23">
        <v>2015</v>
      </c>
      <c r="F27" s="26">
        <v>7.95</v>
      </c>
      <c r="G27" s="23">
        <v>2016</v>
      </c>
      <c r="I27" s="26">
        <f t="shared" si="1"/>
        <v>2.4000000000000004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32" t="s">
        <v>359</v>
      </c>
      <c r="C28" s="17" t="s">
        <v>55</v>
      </c>
      <c r="D28" s="17" t="s">
        <v>80</v>
      </c>
      <c r="E28" s="23">
        <v>2016</v>
      </c>
      <c r="F28" s="24">
        <v>3.4</v>
      </c>
      <c r="G28" s="25">
        <v>2016</v>
      </c>
      <c r="I28" s="26">
        <f t="shared" si="1"/>
        <v>3.4000000000000004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32" t="s">
        <v>114</v>
      </c>
      <c r="C29" s="17" t="s">
        <v>53</v>
      </c>
      <c r="D29" s="17" t="s">
        <v>79</v>
      </c>
      <c r="E29" s="23">
        <v>2013</v>
      </c>
      <c r="F29" s="24">
        <v>2.6</v>
      </c>
      <c r="G29" s="25">
        <v>2016</v>
      </c>
      <c r="I29" s="26">
        <f t="shared" si="1"/>
        <v>0.8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32" t="s">
        <v>115</v>
      </c>
      <c r="C30" s="44" t="s">
        <v>55</v>
      </c>
      <c r="D30" s="44" t="s">
        <v>62</v>
      </c>
      <c r="E30" s="43">
        <v>2016</v>
      </c>
      <c r="F30" s="24">
        <v>2.6</v>
      </c>
      <c r="G30" s="25">
        <v>2016</v>
      </c>
      <c r="I30" s="26">
        <f t="shared" si="1"/>
        <v>2.6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/>
      <c r="D31" s="17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9:13" ht="7.5" customHeight="1">
      <c r="I34" s="22"/>
      <c r="J34" s="22"/>
      <c r="K34" s="22"/>
      <c r="L34" s="22"/>
      <c r="M34" s="22"/>
    </row>
    <row r="35" spans="9:13" ht="12.75">
      <c r="I35" s="28">
        <f>+SUM(I26:I34)</f>
        <v>12.4</v>
      </c>
      <c r="J35" s="28">
        <f>+SUM(J26:J34)</f>
        <v>1</v>
      </c>
      <c r="K35" s="28">
        <f>+SUM(K26:K34)</f>
        <v>0</v>
      </c>
      <c r="L35" s="28">
        <f>+SUM(L26:L34)</f>
        <v>0</v>
      </c>
      <c r="M35" s="28">
        <f>+SUM(M26:M34)</f>
        <v>0</v>
      </c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fitToHeight="1" fitToWidth="1" horizontalDpi="600" verticalDpi="600" orientation="portrait" scale="86"/>
  <headerFooter alignWithMargins="0">
    <oddHeader>&amp;L&amp;"Copperplate Gothic Light,Bold"&amp;14Rob Barton&amp;R&amp;"Copperplate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38</v>
      </c>
      <c r="C3" s="19" t="s">
        <v>39</v>
      </c>
      <c r="D3" s="19" t="s">
        <v>1</v>
      </c>
      <c r="E3" s="19" t="s">
        <v>40</v>
      </c>
      <c r="F3" s="19" t="s">
        <v>9</v>
      </c>
      <c r="G3" s="19" t="s">
        <v>41</v>
      </c>
      <c r="I3" s="20">
        <v>2016</v>
      </c>
      <c r="J3" s="20">
        <v>2017</v>
      </c>
      <c r="K3" s="20">
        <v>2018</v>
      </c>
      <c r="L3" s="20">
        <v>2019</v>
      </c>
      <c r="M3" s="20">
        <v>2020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311</v>
      </c>
      <c r="C5" s="44" t="s">
        <v>42</v>
      </c>
      <c r="D5" s="17" t="s">
        <v>81</v>
      </c>
      <c r="E5" s="23" t="s">
        <v>297</v>
      </c>
      <c r="F5" s="24">
        <v>37.5</v>
      </c>
      <c r="G5" s="25">
        <v>2020</v>
      </c>
      <c r="I5" s="26">
        <f aca="true" t="shared" si="0" ref="I5:M18">+IF($G5&gt;=I$3,$F5,0)</f>
        <v>37.5</v>
      </c>
      <c r="J5" s="26">
        <f t="shared" si="0"/>
        <v>37.5</v>
      </c>
      <c r="K5" s="26">
        <f t="shared" si="0"/>
        <v>37.5</v>
      </c>
      <c r="L5" s="26">
        <f t="shared" si="0"/>
        <v>37.5</v>
      </c>
      <c r="M5" s="26">
        <f t="shared" si="0"/>
        <v>37.5</v>
      </c>
    </row>
    <row r="6" spans="1:13" ht="12.75">
      <c r="A6" s="21">
        <v>2</v>
      </c>
      <c r="B6" s="22" t="s">
        <v>272</v>
      </c>
      <c r="C6" s="44" t="s">
        <v>57</v>
      </c>
      <c r="D6" s="17" t="s">
        <v>54</v>
      </c>
      <c r="E6" s="23" t="s">
        <v>271</v>
      </c>
      <c r="F6" s="24">
        <v>11.9</v>
      </c>
      <c r="G6" s="25">
        <v>2020</v>
      </c>
      <c r="I6" s="26">
        <f t="shared" si="0"/>
        <v>11.9</v>
      </c>
      <c r="J6" s="26">
        <f t="shared" si="0"/>
        <v>11.9</v>
      </c>
      <c r="K6" s="26">
        <f t="shared" si="0"/>
        <v>11.9</v>
      </c>
      <c r="L6" s="26">
        <f t="shared" si="0"/>
        <v>11.9</v>
      </c>
      <c r="M6" s="26">
        <f t="shared" si="0"/>
        <v>11.9</v>
      </c>
    </row>
    <row r="7" spans="1:13" ht="12.75">
      <c r="A7" s="21">
        <v>3</v>
      </c>
      <c r="B7" s="32" t="s">
        <v>267</v>
      </c>
      <c r="C7" s="44" t="s">
        <v>55</v>
      </c>
      <c r="D7" s="44" t="s">
        <v>64</v>
      </c>
      <c r="E7" s="43" t="s">
        <v>297</v>
      </c>
      <c r="F7" s="24">
        <v>3.4</v>
      </c>
      <c r="G7" s="25">
        <v>2020</v>
      </c>
      <c r="I7" s="26">
        <f t="shared" si="0"/>
        <v>3.4</v>
      </c>
      <c r="J7" s="26">
        <f t="shared" si="0"/>
        <v>3.4</v>
      </c>
      <c r="K7" s="26">
        <f t="shared" si="0"/>
        <v>3.4</v>
      </c>
      <c r="L7" s="26">
        <f t="shared" si="0"/>
        <v>3.4</v>
      </c>
      <c r="M7" s="26">
        <f t="shared" si="0"/>
        <v>3.4</v>
      </c>
    </row>
    <row r="8" spans="1:13" ht="12.75">
      <c r="A8" s="21">
        <v>4</v>
      </c>
      <c r="B8" s="32" t="s">
        <v>225</v>
      </c>
      <c r="C8" s="44" t="s">
        <v>50</v>
      </c>
      <c r="D8" s="44" t="s">
        <v>58</v>
      </c>
      <c r="E8" s="23" t="s">
        <v>221</v>
      </c>
      <c r="F8" s="24">
        <v>11.2</v>
      </c>
      <c r="G8" s="25">
        <v>2019</v>
      </c>
      <c r="I8" s="26">
        <f t="shared" si="0"/>
        <v>11.2</v>
      </c>
      <c r="J8" s="26">
        <f t="shared" si="0"/>
        <v>11.2</v>
      </c>
      <c r="K8" s="26">
        <f t="shared" si="0"/>
        <v>11.2</v>
      </c>
      <c r="L8" s="26">
        <f t="shared" si="0"/>
        <v>11.2</v>
      </c>
      <c r="M8" s="26">
        <f t="shared" si="0"/>
        <v>0</v>
      </c>
    </row>
    <row r="9" spans="1:13" ht="12.75">
      <c r="A9" s="21">
        <v>5</v>
      </c>
      <c r="B9" s="32" t="s">
        <v>227</v>
      </c>
      <c r="C9" s="44" t="s">
        <v>57</v>
      </c>
      <c r="D9" s="44" t="s">
        <v>64</v>
      </c>
      <c r="E9" s="43" t="s">
        <v>221</v>
      </c>
      <c r="F9" s="24">
        <v>3.2</v>
      </c>
      <c r="G9" s="25">
        <v>2019</v>
      </c>
      <c r="I9" s="26">
        <f t="shared" si="0"/>
        <v>3.2</v>
      </c>
      <c r="J9" s="26">
        <f t="shared" si="0"/>
        <v>3.2</v>
      </c>
      <c r="K9" s="26">
        <f t="shared" si="0"/>
        <v>3.2</v>
      </c>
      <c r="L9" s="26">
        <f t="shared" si="0"/>
        <v>3.2</v>
      </c>
      <c r="M9" s="26">
        <f t="shared" si="0"/>
        <v>0</v>
      </c>
    </row>
    <row r="10" spans="1:13" ht="12.75">
      <c r="A10" s="21">
        <v>6</v>
      </c>
      <c r="B10" s="32" t="s">
        <v>299</v>
      </c>
      <c r="C10" s="17" t="s">
        <v>55</v>
      </c>
      <c r="D10" s="44" t="s">
        <v>67</v>
      </c>
      <c r="E10" s="23" t="s">
        <v>297</v>
      </c>
      <c r="F10" s="24">
        <v>23.9</v>
      </c>
      <c r="G10" s="25">
        <v>2018</v>
      </c>
      <c r="I10" s="26">
        <f t="shared" si="0"/>
        <v>23.9</v>
      </c>
      <c r="J10" s="26">
        <f t="shared" si="0"/>
        <v>23.9</v>
      </c>
      <c r="K10" s="26">
        <f t="shared" si="0"/>
        <v>23.9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266</v>
      </c>
      <c r="C11" s="17" t="s">
        <v>66</v>
      </c>
      <c r="D11" s="17" t="s">
        <v>69</v>
      </c>
      <c r="E11" s="23" t="s">
        <v>242</v>
      </c>
      <c r="F11" s="24">
        <v>3.95</v>
      </c>
      <c r="G11" s="25">
        <v>2018</v>
      </c>
      <c r="I11" s="26">
        <f t="shared" si="0"/>
        <v>3.95</v>
      </c>
      <c r="J11" s="26">
        <f t="shared" si="0"/>
        <v>3.95</v>
      </c>
      <c r="K11" s="26">
        <f t="shared" si="0"/>
        <v>3.95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22" t="s">
        <v>287</v>
      </c>
      <c r="C12" s="44" t="s">
        <v>48</v>
      </c>
      <c r="D12" s="17" t="s">
        <v>46</v>
      </c>
      <c r="E12" s="23" t="s">
        <v>271</v>
      </c>
      <c r="F12" s="24">
        <v>3.4</v>
      </c>
      <c r="G12" s="25">
        <v>2018</v>
      </c>
      <c r="I12" s="26">
        <f t="shared" si="0"/>
        <v>3.4</v>
      </c>
      <c r="J12" s="26">
        <f t="shared" si="0"/>
        <v>3.4</v>
      </c>
      <c r="K12" s="26">
        <f t="shared" si="0"/>
        <v>3.4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22" t="s">
        <v>129</v>
      </c>
      <c r="C13" s="17" t="s">
        <v>66</v>
      </c>
      <c r="D13" s="17" t="s">
        <v>65</v>
      </c>
      <c r="E13" s="23" t="s">
        <v>278</v>
      </c>
      <c r="F13" s="24">
        <v>64.3</v>
      </c>
      <c r="G13" s="25">
        <v>2017</v>
      </c>
      <c r="I13" s="26">
        <f t="shared" si="0"/>
        <v>64.3</v>
      </c>
      <c r="J13" s="26">
        <f t="shared" si="0"/>
        <v>64.3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144</v>
      </c>
      <c r="C14" s="44" t="s">
        <v>61</v>
      </c>
      <c r="D14" s="44" t="s">
        <v>71</v>
      </c>
      <c r="E14" s="23" t="s">
        <v>199</v>
      </c>
      <c r="F14" s="24">
        <v>3.5</v>
      </c>
      <c r="G14" s="25">
        <v>2017</v>
      </c>
      <c r="I14" s="26">
        <f t="shared" si="0"/>
        <v>3.5</v>
      </c>
      <c r="J14" s="26">
        <f t="shared" si="0"/>
        <v>3.5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22" t="s">
        <v>99</v>
      </c>
      <c r="C15" s="44" t="s">
        <v>53</v>
      </c>
      <c r="D15" s="44" t="s">
        <v>72</v>
      </c>
      <c r="E15" s="23" t="s">
        <v>200</v>
      </c>
      <c r="F15" s="24">
        <v>9.6</v>
      </c>
      <c r="G15" s="25">
        <v>2016</v>
      </c>
      <c r="I15" s="26">
        <f t="shared" si="0"/>
        <v>9.6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166</v>
      </c>
      <c r="C16" s="44" t="s">
        <v>42</v>
      </c>
      <c r="D16" s="44" t="s">
        <v>49</v>
      </c>
      <c r="E16" s="43" t="s">
        <v>297</v>
      </c>
      <c r="F16" s="24">
        <v>3.4</v>
      </c>
      <c r="G16" s="25">
        <v>2016</v>
      </c>
      <c r="I16" s="26">
        <f t="shared" si="0"/>
        <v>3.4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90</v>
      </c>
      <c r="C17" s="44" t="s">
        <v>50</v>
      </c>
      <c r="D17" s="17" t="s">
        <v>77</v>
      </c>
      <c r="E17" s="23" t="s">
        <v>242</v>
      </c>
      <c r="F17" s="24">
        <v>3.2</v>
      </c>
      <c r="G17" s="25">
        <v>2016</v>
      </c>
      <c r="I17" s="26">
        <f t="shared" si="0"/>
        <v>3.2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22" t="s">
        <v>100</v>
      </c>
      <c r="C18" s="44" t="s">
        <v>42</v>
      </c>
      <c r="D18" s="44" t="s">
        <v>71</v>
      </c>
      <c r="E18" s="23" t="s">
        <v>200</v>
      </c>
      <c r="F18" s="24">
        <v>2.6</v>
      </c>
      <c r="G18" s="25">
        <v>2016</v>
      </c>
      <c r="I18" s="26">
        <f t="shared" si="0"/>
        <v>2.6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32"/>
      <c r="D20" s="44"/>
      <c r="E20" s="23"/>
      <c r="F20" s="24"/>
      <c r="G20" s="25"/>
      <c r="I20" s="28">
        <f>+SUM(I5:I18)</f>
        <v>185.04999999999998</v>
      </c>
      <c r="J20" s="28">
        <f>+SUM(J5:J18)</f>
        <v>166.25</v>
      </c>
      <c r="K20" s="28">
        <f>+SUM(K5:K18)</f>
        <v>98.45</v>
      </c>
      <c r="L20" s="28">
        <f>+SUM(L5:L18)</f>
        <v>67.2</v>
      </c>
      <c r="M20" s="28">
        <f>+SUM(M5:M18)</f>
        <v>52.8</v>
      </c>
    </row>
    <row r="22" spans="1:13" ht="15.75">
      <c r="A22" s="103" t="s">
        <v>59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38</v>
      </c>
      <c r="C24" s="19" t="s">
        <v>39</v>
      </c>
      <c r="D24" s="19" t="s">
        <v>1</v>
      </c>
      <c r="E24" s="19" t="s">
        <v>60</v>
      </c>
      <c r="F24" s="19" t="s">
        <v>9</v>
      </c>
      <c r="G24" s="19" t="s">
        <v>41</v>
      </c>
      <c r="I24" s="20">
        <f>+I$3</f>
        <v>2016</v>
      </c>
      <c r="J24" s="20">
        <f>+J$3</f>
        <v>2017</v>
      </c>
      <c r="K24" s="20">
        <f>+K$3</f>
        <v>2018</v>
      </c>
      <c r="L24" s="20">
        <f>+L$3</f>
        <v>2019</v>
      </c>
      <c r="M24" s="20">
        <f>+M$3</f>
        <v>2020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22" t="s">
        <v>213</v>
      </c>
      <c r="C26" s="44" t="s">
        <v>42</v>
      </c>
      <c r="D26" s="44" t="s">
        <v>83</v>
      </c>
      <c r="E26" s="23">
        <v>2015</v>
      </c>
      <c r="F26" s="24">
        <v>3</v>
      </c>
      <c r="G26" s="69">
        <v>2018</v>
      </c>
      <c r="I26" s="26">
        <f aca="true" t="shared" si="1" ref="I26:I39">+CEILING(IF($I$24=E26,F26,IF($I$24&lt;=G26,F26*0.3,0)),0.05)</f>
        <v>0.9</v>
      </c>
      <c r="J26" s="26">
        <f aca="true" t="shared" si="2" ref="J26:J39">+CEILING(IF($J$24&lt;=G26,F26*0.3,0),0.05)</f>
        <v>0.9</v>
      </c>
      <c r="K26" s="26">
        <f aca="true" t="shared" si="3" ref="K26:K39">+CEILING(IF($K$24&lt;=G26,F26*0.3,0),0.05)</f>
        <v>0.9</v>
      </c>
      <c r="L26" s="26">
        <f aca="true" t="shared" si="4" ref="L26:L39">+CEILING(IF($L$24&lt;=G26,F26*0.3,0),0.05)</f>
        <v>0</v>
      </c>
      <c r="M26" s="26">
        <f aca="true" t="shared" si="5" ref="M26:M39">CEILING(IF($M$24&lt;=G26,F26*0.3,0),0.05)</f>
        <v>0</v>
      </c>
    </row>
    <row r="27" spans="1:13" ht="12.75">
      <c r="A27" s="21">
        <v>2</v>
      </c>
      <c r="B27" s="22"/>
      <c r="C27" s="44"/>
      <c r="D27" s="44"/>
      <c r="E27" s="23"/>
      <c r="F27" s="24"/>
      <c r="G27" s="69"/>
      <c r="I27" s="26">
        <f t="shared" si="1"/>
        <v>0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22"/>
      <c r="D28" s="17"/>
      <c r="E28" s="23"/>
      <c r="F28" s="24"/>
      <c r="G28" s="25"/>
      <c r="I28" s="26">
        <f t="shared" si="1"/>
        <v>0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22"/>
      <c r="D29" s="17"/>
      <c r="E29" s="23"/>
      <c r="F29" s="24"/>
      <c r="G29" s="25"/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22"/>
      <c r="D30" s="17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/>
      <c r="D31" s="17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22"/>
      <c r="D34" s="17"/>
      <c r="E34" s="23"/>
      <c r="F34" s="24"/>
      <c r="G34" s="25"/>
      <c r="I34" s="26">
        <f t="shared" si="1"/>
        <v>0</v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</row>
    <row r="35" spans="1:13" ht="12.75">
      <c r="A35" s="21">
        <v>10</v>
      </c>
      <c r="B35" s="22"/>
      <c r="D35" s="17"/>
      <c r="E35" s="23"/>
      <c r="F35" s="24"/>
      <c r="G35" s="25"/>
      <c r="I35" s="26">
        <f t="shared" si="1"/>
        <v>0</v>
      </c>
      <c r="J35" s="26">
        <f t="shared" si="2"/>
        <v>0</v>
      </c>
      <c r="K35" s="26">
        <f t="shared" si="3"/>
        <v>0</v>
      </c>
      <c r="L35" s="26">
        <f t="shared" si="4"/>
        <v>0</v>
      </c>
      <c r="M35" s="26">
        <f t="shared" si="5"/>
        <v>0</v>
      </c>
    </row>
    <row r="36" spans="1:13" ht="12.75">
      <c r="A36" s="21">
        <v>11</v>
      </c>
      <c r="B36" s="22"/>
      <c r="D36" s="17"/>
      <c r="E36" s="23"/>
      <c r="F36" s="24"/>
      <c r="G36" s="25"/>
      <c r="I36" s="26">
        <f t="shared" si="1"/>
        <v>0</v>
      </c>
      <c r="J36" s="26">
        <f t="shared" si="2"/>
        <v>0</v>
      </c>
      <c r="K36" s="26">
        <f t="shared" si="3"/>
        <v>0</v>
      </c>
      <c r="L36" s="26">
        <f t="shared" si="4"/>
        <v>0</v>
      </c>
      <c r="M36" s="26">
        <f t="shared" si="5"/>
        <v>0</v>
      </c>
    </row>
    <row r="37" spans="1:13" ht="12.75">
      <c r="A37" s="21">
        <v>12</v>
      </c>
      <c r="B37" s="22"/>
      <c r="D37" s="17"/>
      <c r="E37" s="23"/>
      <c r="F37" s="24"/>
      <c r="G37" s="25"/>
      <c r="I37" s="26">
        <f t="shared" si="1"/>
        <v>0</v>
      </c>
      <c r="J37" s="26">
        <f t="shared" si="2"/>
        <v>0</v>
      </c>
      <c r="K37" s="26">
        <f t="shared" si="3"/>
        <v>0</v>
      </c>
      <c r="L37" s="26">
        <f t="shared" si="4"/>
        <v>0</v>
      </c>
      <c r="M37" s="26">
        <f t="shared" si="5"/>
        <v>0</v>
      </c>
    </row>
    <row r="38" spans="1:13" ht="12.75">
      <c r="A38" s="21">
        <v>13</v>
      </c>
      <c r="B38" s="22"/>
      <c r="D38" s="17"/>
      <c r="E38" s="23"/>
      <c r="F38" s="24"/>
      <c r="G38" s="25"/>
      <c r="I38" s="26">
        <f t="shared" si="1"/>
        <v>0</v>
      </c>
      <c r="J38" s="26">
        <f t="shared" si="2"/>
        <v>0</v>
      </c>
      <c r="K38" s="26">
        <f t="shared" si="3"/>
        <v>0</v>
      </c>
      <c r="L38" s="26">
        <f t="shared" si="4"/>
        <v>0</v>
      </c>
      <c r="M38" s="26">
        <f t="shared" si="5"/>
        <v>0</v>
      </c>
    </row>
    <row r="39" spans="1:13" ht="12.75">
      <c r="A39" s="21">
        <v>14</v>
      </c>
      <c r="B39" s="22"/>
      <c r="D39" s="17"/>
      <c r="E39" s="23"/>
      <c r="F39" s="24"/>
      <c r="G39" s="30"/>
      <c r="I39" s="26">
        <f t="shared" si="1"/>
        <v>0</v>
      </c>
      <c r="J39" s="26">
        <f t="shared" si="2"/>
        <v>0</v>
      </c>
      <c r="K39" s="26">
        <f t="shared" si="3"/>
        <v>0</v>
      </c>
      <c r="L39" s="26">
        <f t="shared" si="4"/>
        <v>0</v>
      </c>
      <c r="M39" s="26">
        <f t="shared" si="5"/>
        <v>0</v>
      </c>
    </row>
    <row r="40" spans="9:13" ht="7.5" customHeight="1">
      <c r="I40" s="22"/>
      <c r="J40" s="22"/>
      <c r="K40" s="22"/>
      <c r="L40" s="22"/>
      <c r="M40" s="22"/>
    </row>
    <row r="41" spans="9:13" ht="12.75">
      <c r="I41" s="28">
        <f>+SUM(I26:I40)</f>
        <v>0.9</v>
      </c>
      <c r="J41" s="28">
        <f>+SUM(J26:J40)</f>
        <v>0.9</v>
      </c>
      <c r="K41" s="28">
        <f>+SUM(K26:K40)</f>
        <v>0.9</v>
      </c>
      <c r="L41" s="28">
        <f>+SUM(L26:L40)</f>
        <v>0</v>
      </c>
      <c r="M41" s="28">
        <f>+SUM(M26:M40)</f>
        <v>0</v>
      </c>
    </row>
    <row r="42" spans="9:13" ht="12.75">
      <c r="I42" s="29"/>
      <c r="J42" s="29"/>
      <c r="K42" s="29"/>
      <c r="L42" s="29"/>
      <c r="M42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fitToHeight="1" fitToWidth="1" horizontalDpi="600" verticalDpi="600" orientation="portrait"/>
  <headerFooter alignWithMargins="0">
    <oddHeader>&amp;L&amp;"Copperplate Gothic Light,Bold"&amp;14Cameron Boyd&amp;R&amp;"Copperplate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38</v>
      </c>
      <c r="C3" s="19" t="s">
        <v>39</v>
      </c>
      <c r="D3" s="19" t="s">
        <v>1</v>
      </c>
      <c r="E3" s="19" t="s">
        <v>40</v>
      </c>
      <c r="F3" s="19" t="s">
        <v>9</v>
      </c>
      <c r="G3" s="19" t="s">
        <v>41</v>
      </c>
      <c r="I3" s="20">
        <v>2016</v>
      </c>
      <c r="J3" s="20">
        <v>2017</v>
      </c>
      <c r="K3" s="20">
        <v>2018</v>
      </c>
      <c r="L3" s="20">
        <v>2019</v>
      </c>
      <c r="M3" s="20">
        <v>2020</v>
      </c>
    </row>
    <row r="4" spans="2:13" ht="7.5" customHeight="1">
      <c r="B4" s="18"/>
      <c r="C4" s="20"/>
      <c r="E4" s="20"/>
      <c r="F4" s="20"/>
      <c r="I4" s="22"/>
      <c r="J4" s="22"/>
      <c r="K4" s="22"/>
      <c r="L4" s="22"/>
      <c r="M4" s="22"/>
    </row>
    <row r="5" spans="1:13" ht="12.75">
      <c r="A5" s="21">
        <v>1</v>
      </c>
      <c r="B5" s="32" t="s">
        <v>283</v>
      </c>
      <c r="C5" s="17" t="s">
        <v>48</v>
      </c>
      <c r="D5" s="17" t="s">
        <v>64</v>
      </c>
      <c r="E5" s="23" t="s">
        <v>271</v>
      </c>
      <c r="F5" s="24">
        <v>4.25</v>
      </c>
      <c r="G5" s="25">
        <v>2020</v>
      </c>
      <c r="I5" s="26">
        <f aca="true" t="shared" si="0" ref="I5:M18">+IF($G5&gt;=I$3,$F5,0)</f>
        <v>4.25</v>
      </c>
      <c r="J5" s="26">
        <f t="shared" si="0"/>
        <v>4.25</v>
      </c>
      <c r="K5" s="26">
        <f t="shared" si="0"/>
        <v>4.25</v>
      </c>
      <c r="L5" s="26">
        <f t="shared" si="0"/>
        <v>4.25</v>
      </c>
      <c r="M5" s="26">
        <f t="shared" si="0"/>
        <v>4.25</v>
      </c>
    </row>
    <row r="6" spans="1:13" ht="12.75">
      <c r="A6" s="21">
        <v>2</v>
      </c>
      <c r="B6" s="42" t="s">
        <v>247</v>
      </c>
      <c r="C6" s="17" t="s">
        <v>42</v>
      </c>
      <c r="D6" s="44" t="s">
        <v>77</v>
      </c>
      <c r="E6" s="23" t="s">
        <v>242</v>
      </c>
      <c r="F6" s="24">
        <v>53.25</v>
      </c>
      <c r="G6" s="25">
        <v>2019</v>
      </c>
      <c r="I6" s="26">
        <f t="shared" si="0"/>
        <v>53.25</v>
      </c>
      <c r="J6" s="26">
        <f t="shared" si="0"/>
        <v>53.25</v>
      </c>
      <c r="K6" s="26">
        <f t="shared" si="0"/>
        <v>53.25</v>
      </c>
      <c r="L6" s="26">
        <f t="shared" si="0"/>
        <v>53.25</v>
      </c>
      <c r="M6" s="26">
        <f t="shared" si="0"/>
        <v>0</v>
      </c>
    </row>
    <row r="7" spans="1:13" ht="12.75">
      <c r="A7" s="21">
        <v>3</v>
      </c>
      <c r="B7" s="42" t="s">
        <v>233</v>
      </c>
      <c r="C7" s="44" t="s">
        <v>61</v>
      </c>
      <c r="D7" s="44" t="s">
        <v>49</v>
      </c>
      <c r="E7" s="43" t="s">
        <v>221</v>
      </c>
      <c r="F7" s="24">
        <v>8</v>
      </c>
      <c r="G7" s="25">
        <v>2019</v>
      </c>
      <c r="I7" s="26">
        <f t="shared" si="0"/>
        <v>8</v>
      </c>
      <c r="J7" s="26">
        <f t="shared" si="0"/>
        <v>8</v>
      </c>
      <c r="K7" s="26">
        <f t="shared" si="0"/>
        <v>8</v>
      </c>
      <c r="L7" s="26">
        <f t="shared" si="0"/>
        <v>8</v>
      </c>
      <c r="M7" s="26">
        <f t="shared" si="0"/>
        <v>0</v>
      </c>
    </row>
    <row r="8" spans="1:13" ht="12.75">
      <c r="A8" s="21">
        <v>4</v>
      </c>
      <c r="B8" s="42" t="s">
        <v>241</v>
      </c>
      <c r="C8" s="44" t="s">
        <v>53</v>
      </c>
      <c r="D8" s="44" t="s">
        <v>70</v>
      </c>
      <c r="E8" s="23" t="s">
        <v>221</v>
      </c>
      <c r="F8" s="24">
        <v>3.2</v>
      </c>
      <c r="G8" s="25">
        <v>2019</v>
      </c>
      <c r="I8" s="26">
        <f t="shared" si="0"/>
        <v>3.2</v>
      </c>
      <c r="J8" s="26">
        <f t="shared" si="0"/>
        <v>3.2</v>
      </c>
      <c r="K8" s="26">
        <f t="shared" si="0"/>
        <v>3.2</v>
      </c>
      <c r="L8" s="26">
        <f t="shared" si="0"/>
        <v>3.2</v>
      </c>
      <c r="M8" s="26">
        <f t="shared" si="0"/>
        <v>0</v>
      </c>
    </row>
    <row r="9" spans="1:13" ht="12.75">
      <c r="A9" s="21">
        <v>5</v>
      </c>
      <c r="B9" s="32" t="s">
        <v>298</v>
      </c>
      <c r="C9" s="44" t="s">
        <v>42</v>
      </c>
      <c r="D9" s="44" t="s">
        <v>68</v>
      </c>
      <c r="E9" s="43" t="s">
        <v>297</v>
      </c>
      <c r="F9" s="24">
        <v>14</v>
      </c>
      <c r="G9" s="25">
        <v>2018</v>
      </c>
      <c r="I9" s="26">
        <f t="shared" si="0"/>
        <v>14</v>
      </c>
      <c r="J9" s="26">
        <f t="shared" si="0"/>
        <v>14</v>
      </c>
      <c r="K9" s="26">
        <f t="shared" si="0"/>
        <v>14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32" t="s">
        <v>192</v>
      </c>
      <c r="C10" s="17" t="s">
        <v>53</v>
      </c>
      <c r="D10" s="17" t="s">
        <v>81</v>
      </c>
      <c r="E10" s="23" t="s">
        <v>168</v>
      </c>
      <c r="F10" s="24">
        <v>3</v>
      </c>
      <c r="G10" s="30">
        <v>2018</v>
      </c>
      <c r="I10" s="26">
        <f t="shared" si="0"/>
        <v>3</v>
      </c>
      <c r="J10" s="26">
        <f t="shared" si="0"/>
        <v>3</v>
      </c>
      <c r="K10" s="26">
        <f t="shared" si="0"/>
        <v>3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197</v>
      </c>
      <c r="C11" s="44" t="s">
        <v>61</v>
      </c>
      <c r="D11" s="44" t="s">
        <v>58</v>
      </c>
      <c r="E11" s="43" t="s">
        <v>168</v>
      </c>
      <c r="F11" s="24">
        <v>3</v>
      </c>
      <c r="G11" s="25">
        <v>2018</v>
      </c>
      <c r="I11" s="26">
        <f t="shared" si="0"/>
        <v>3</v>
      </c>
      <c r="J11" s="26">
        <f t="shared" si="0"/>
        <v>3</v>
      </c>
      <c r="K11" s="26">
        <f t="shared" si="0"/>
        <v>3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154</v>
      </c>
      <c r="C12" s="17" t="s">
        <v>50</v>
      </c>
      <c r="D12" s="44" t="s">
        <v>70</v>
      </c>
      <c r="E12" s="23" t="s">
        <v>278</v>
      </c>
      <c r="F12" s="24">
        <v>35.65</v>
      </c>
      <c r="G12" s="25">
        <v>2017</v>
      </c>
      <c r="I12" s="26">
        <f t="shared" si="0"/>
        <v>35.65</v>
      </c>
      <c r="J12" s="26">
        <f t="shared" si="0"/>
        <v>35.65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296</v>
      </c>
      <c r="C13" s="44" t="s">
        <v>45</v>
      </c>
      <c r="D13" s="17" t="s">
        <v>65</v>
      </c>
      <c r="E13" s="23" t="s">
        <v>297</v>
      </c>
      <c r="F13" s="24">
        <v>33.9</v>
      </c>
      <c r="G13" s="25">
        <v>2017</v>
      </c>
      <c r="I13" s="26">
        <f t="shared" si="0"/>
        <v>33.9</v>
      </c>
      <c r="J13" s="26">
        <f t="shared" si="0"/>
        <v>33.9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42" t="s">
        <v>246</v>
      </c>
      <c r="C14" s="17" t="s">
        <v>55</v>
      </c>
      <c r="D14" s="17" t="s">
        <v>79</v>
      </c>
      <c r="E14" s="43" t="s">
        <v>242</v>
      </c>
      <c r="F14" s="24">
        <v>3.2</v>
      </c>
      <c r="G14" s="25">
        <v>2017</v>
      </c>
      <c r="I14" s="26">
        <f t="shared" si="0"/>
        <v>3.2</v>
      </c>
      <c r="J14" s="26">
        <f t="shared" si="0"/>
        <v>3.2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341</v>
      </c>
      <c r="C15" s="44" t="s">
        <v>61</v>
      </c>
      <c r="D15" s="44" t="s">
        <v>52</v>
      </c>
      <c r="E15" s="43" t="s">
        <v>336</v>
      </c>
      <c r="F15" s="24">
        <v>3.4</v>
      </c>
      <c r="G15" s="25">
        <v>2016</v>
      </c>
      <c r="I15" s="26">
        <f t="shared" si="0"/>
        <v>3.4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263</v>
      </c>
      <c r="C16" s="44" t="s">
        <v>55</v>
      </c>
      <c r="D16" s="44" t="s">
        <v>58</v>
      </c>
      <c r="E16" s="23" t="s">
        <v>336</v>
      </c>
      <c r="F16" s="24">
        <v>3.4</v>
      </c>
      <c r="G16" s="25">
        <v>2016</v>
      </c>
      <c r="I16" s="26">
        <f t="shared" si="0"/>
        <v>3.4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338</v>
      </c>
      <c r="C17" s="44" t="s">
        <v>48</v>
      </c>
      <c r="D17" s="17" t="s">
        <v>339</v>
      </c>
      <c r="E17" s="23" t="s">
        <v>336</v>
      </c>
      <c r="F17" s="24">
        <v>3.4</v>
      </c>
      <c r="G17" s="25">
        <v>2016</v>
      </c>
      <c r="I17" s="26">
        <f t="shared" si="0"/>
        <v>3.4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96</v>
      </c>
      <c r="C18" s="44" t="s">
        <v>50</v>
      </c>
      <c r="D18" s="17" t="s">
        <v>71</v>
      </c>
      <c r="E18" s="23" t="s">
        <v>201</v>
      </c>
      <c r="F18" s="24">
        <v>2.6</v>
      </c>
      <c r="G18" s="25">
        <v>2016</v>
      </c>
      <c r="I18" s="26">
        <f t="shared" si="0"/>
        <v>2.6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32"/>
      <c r="D20" s="17"/>
      <c r="E20" s="43"/>
      <c r="F20" s="24"/>
      <c r="G20" s="25"/>
      <c r="I20" s="28">
        <f>+SUM(I5:I18)</f>
        <v>174.25</v>
      </c>
      <c r="J20" s="28">
        <f>+SUM(J5:J18)</f>
        <v>161.45</v>
      </c>
      <c r="K20" s="28">
        <f>+SUM(K5:K18)</f>
        <v>88.7</v>
      </c>
      <c r="L20" s="28">
        <f>+SUM(L5:L18)</f>
        <v>68.7</v>
      </c>
      <c r="M20" s="28">
        <f>+SUM(M5:M18)</f>
        <v>4.25</v>
      </c>
    </row>
    <row r="22" spans="1:13" ht="15.75">
      <c r="A22" s="103" t="s">
        <v>59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38</v>
      </c>
      <c r="C24" s="19" t="s">
        <v>39</v>
      </c>
      <c r="D24" s="19" t="s">
        <v>1</v>
      </c>
      <c r="E24" s="19" t="s">
        <v>60</v>
      </c>
      <c r="F24" s="19" t="s">
        <v>9</v>
      </c>
      <c r="G24" s="19" t="s">
        <v>41</v>
      </c>
      <c r="I24" s="20">
        <f>+I3</f>
        <v>2016</v>
      </c>
      <c r="J24" s="20">
        <f>+J3</f>
        <v>2017</v>
      </c>
      <c r="K24" s="20">
        <f>+K3</f>
        <v>2018</v>
      </c>
      <c r="L24" s="20">
        <f>+L3</f>
        <v>2019</v>
      </c>
      <c r="M24" s="20">
        <f>M3</f>
        <v>2020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202</v>
      </c>
      <c r="C26" s="44" t="s">
        <v>42</v>
      </c>
      <c r="D26" s="44" t="s">
        <v>63</v>
      </c>
      <c r="E26" s="43">
        <v>2015</v>
      </c>
      <c r="F26" s="24">
        <v>32.25</v>
      </c>
      <c r="G26" s="25">
        <v>2017</v>
      </c>
      <c r="I26" s="26">
        <f aca="true" t="shared" si="1" ref="I26:I39">+CEILING(IF($I$24=E26,F26,IF($I$24&lt;=G26,F26*0.3,0)),0.05)</f>
        <v>9.700000000000001</v>
      </c>
      <c r="J26" s="26">
        <f aca="true" t="shared" si="2" ref="J26:J39">+CEILING(IF($J$24&lt;=G26,F26*0.3,0),0.05)</f>
        <v>9.700000000000001</v>
      </c>
      <c r="K26" s="26">
        <f aca="true" t="shared" si="3" ref="K26:K39">+CEILING(IF($K$24&lt;=G26,F26*0.3,0),0.05)</f>
        <v>0</v>
      </c>
      <c r="L26" s="26">
        <f aca="true" t="shared" si="4" ref="L26:L39">+CEILING(IF($L$24&lt;=G26,F26*0.3,0),0.05)</f>
        <v>0</v>
      </c>
      <c r="M26" s="26">
        <f aca="true" t="shared" si="5" ref="M26:M39">CEILING(IF($M$24&lt;=G26,F26*0.3,0),0.05)</f>
        <v>0</v>
      </c>
    </row>
    <row r="27" spans="1:13" ht="12.75">
      <c r="A27" s="21">
        <v>2</v>
      </c>
      <c r="B27" s="32" t="s">
        <v>113</v>
      </c>
      <c r="C27" s="17" t="s">
        <v>53</v>
      </c>
      <c r="D27" s="17" t="s">
        <v>69</v>
      </c>
      <c r="E27" s="23">
        <v>2015</v>
      </c>
      <c r="F27" s="24">
        <v>2.9</v>
      </c>
      <c r="G27" s="25">
        <v>2016</v>
      </c>
      <c r="I27" s="26">
        <f>+CEILING(IF($I$24=E27,F27,IF($I$24&lt;=G27,F27*0.3,0)),0.05)</f>
        <v>0.9</v>
      </c>
      <c r="J27" s="26">
        <f>+CEILING(IF($J$24&lt;=G27,F27*0.3,0),0.05)</f>
        <v>0</v>
      </c>
      <c r="K27" s="26">
        <f>+CEILING(IF($K$24&lt;=G27,F27*0.3,0),0.05)</f>
        <v>0</v>
      </c>
      <c r="L27" s="26">
        <f>+CEILING(IF($L$24&lt;=G27,F27*0.3,0),0.05)</f>
        <v>0</v>
      </c>
      <c r="M27" s="26">
        <f>CEILING(IF($M$24&lt;=G27,F27*0.3,0),0.05)</f>
        <v>0</v>
      </c>
    </row>
    <row r="28" spans="1:13" ht="12.75">
      <c r="A28" s="21">
        <v>3</v>
      </c>
      <c r="B28" s="32" t="s">
        <v>329</v>
      </c>
      <c r="C28" s="44" t="s">
        <v>55</v>
      </c>
      <c r="D28" s="44" t="s">
        <v>65</v>
      </c>
      <c r="E28" s="43">
        <v>2016</v>
      </c>
      <c r="F28" s="24">
        <v>3.4</v>
      </c>
      <c r="G28" s="25">
        <v>2016</v>
      </c>
      <c r="I28" s="26">
        <f>+CEILING(IF($I$24=E28,F28,IF($I$24&lt;=G28,F28*0.3,0)),0.05)</f>
        <v>3.4000000000000004</v>
      </c>
      <c r="J28" s="26">
        <f>+CEILING(IF($J$24&lt;=G28,F28*0.3,0),0.05)</f>
        <v>0</v>
      </c>
      <c r="K28" s="26">
        <f>+CEILING(IF($K$24&lt;=G28,F28*0.3,0),0.05)</f>
        <v>0</v>
      </c>
      <c r="L28" s="26">
        <f>+CEILING(IF($L$24&lt;=G28,F28*0.3,0),0.05)</f>
        <v>0</v>
      </c>
      <c r="M28" s="26">
        <f>CEILING(IF($M$24&lt;=G28,F28*0.3,0),0.05)</f>
        <v>0</v>
      </c>
    </row>
    <row r="29" spans="1:13" ht="12.75">
      <c r="A29" s="21">
        <v>4</v>
      </c>
      <c r="B29" s="32" t="s">
        <v>340</v>
      </c>
      <c r="C29" s="44" t="s">
        <v>55</v>
      </c>
      <c r="D29" s="44" t="s">
        <v>63</v>
      </c>
      <c r="E29" s="43">
        <v>2016</v>
      </c>
      <c r="F29" s="24">
        <v>3.4</v>
      </c>
      <c r="G29" s="25">
        <v>2016</v>
      </c>
      <c r="I29" s="26">
        <f t="shared" si="1"/>
        <v>3.4000000000000004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32"/>
      <c r="D30" s="44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32"/>
      <c r="C31" s="44"/>
      <c r="D31" s="44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7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7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27"/>
      <c r="D34" s="17"/>
      <c r="E34" s="23"/>
      <c r="F34" s="24"/>
      <c r="G34" s="25"/>
      <c r="I34" s="26">
        <f t="shared" si="1"/>
        <v>0</v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</row>
    <row r="35" spans="1:13" ht="12.75">
      <c r="A35" s="21">
        <v>10</v>
      </c>
      <c r="B35" s="27"/>
      <c r="D35" s="17"/>
      <c r="E35" s="23"/>
      <c r="F35" s="24"/>
      <c r="G35" s="25"/>
      <c r="I35" s="26">
        <f t="shared" si="1"/>
        <v>0</v>
      </c>
      <c r="J35" s="26">
        <f t="shared" si="2"/>
        <v>0</v>
      </c>
      <c r="K35" s="26">
        <f t="shared" si="3"/>
        <v>0</v>
      </c>
      <c r="L35" s="26">
        <f t="shared" si="4"/>
        <v>0</v>
      </c>
      <c r="M35" s="26">
        <f t="shared" si="5"/>
        <v>0</v>
      </c>
    </row>
    <row r="36" spans="1:13" ht="12.75">
      <c r="A36" s="21">
        <v>11</v>
      </c>
      <c r="B36" s="27"/>
      <c r="D36" s="17"/>
      <c r="E36" s="23"/>
      <c r="F36" s="24"/>
      <c r="G36" s="25"/>
      <c r="I36" s="26">
        <f t="shared" si="1"/>
        <v>0</v>
      </c>
      <c r="J36" s="26">
        <f t="shared" si="2"/>
        <v>0</v>
      </c>
      <c r="K36" s="26">
        <f t="shared" si="3"/>
        <v>0</v>
      </c>
      <c r="L36" s="26">
        <f t="shared" si="4"/>
        <v>0</v>
      </c>
      <c r="M36" s="26">
        <f t="shared" si="5"/>
        <v>0</v>
      </c>
    </row>
    <row r="37" spans="1:13" ht="12.75">
      <c r="A37" s="21">
        <v>12</v>
      </c>
      <c r="B37" s="27"/>
      <c r="D37" s="17"/>
      <c r="E37" s="23"/>
      <c r="F37" s="24"/>
      <c r="G37" s="25"/>
      <c r="I37" s="26">
        <f t="shared" si="1"/>
        <v>0</v>
      </c>
      <c r="J37" s="26">
        <f t="shared" si="2"/>
        <v>0</v>
      </c>
      <c r="K37" s="26">
        <f t="shared" si="3"/>
        <v>0</v>
      </c>
      <c r="L37" s="26">
        <f t="shared" si="4"/>
        <v>0</v>
      </c>
      <c r="M37" s="26">
        <f t="shared" si="5"/>
        <v>0</v>
      </c>
    </row>
    <row r="38" spans="1:13" ht="12.75">
      <c r="A38" s="21">
        <v>13</v>
      </c>
      <c r="B38" s="27"/>
      <c r="D38" s="17"/>
      <c r="E38" s="23"/>
      <c r="F38" s="24"/>
      <c r="G38" s="25"/>
      <c r="I38" s="26">
        <f t="shared" si="1"/>
        <v>0</v>
      </c>
      <c r="J38" s="26">
        <f t="shared" si="2"/>
        <v>0</v>
      </c>
      <c r="K38" s="26">
        <f t="shared" si="3"/>
        <v>0</v>
      </c>
      <c r="L38" s="26">
        <f t="shared" si="4"/>
        <v>0</v>
      </c>
      <c r="M38" s="26">
        <f t="shared" si="5"/>
        <v>0</v>
      </c>
    </row>
    <row r="39" spans="1:13" ht="12.75">
      <c r="A39" s="21">
        <v>14</v>
      </c>
      <c r="B39" s="27"/>
      <c r="D39" s="17"/>
      <c r="E39" s="23"/>
      <c r="F39" s="24"/>
      <c r="G39" s="25"/>
      <c r="I39" s="26">
        <f t="shared" si="1"/>
        <v>0</v>
      </c>
      <c r="J39" s="26">
        <f t="shared" si="2"/>
        <v>0</v>
      </c>
      <c r="K39" s="26">
        <f t="shared" si="3"/>
        <v>0</v>
      </c>
      <c r="L39" s="26">
        <f t="shared" si="4"/>
        <v>0</v>
      </c>
      <c r="M39" s="26">
        <f t="shared" si="5"/>
        <v>0</v>
      </c>
    </row>
    <row r="40" spans="9:13" ht="7.5" customHeight="1">
      <c r="I40" s="22"/>
      <c r="J40" s="22"/>
      <c r="K40" s="22"/>
      <c r="L40" s="22"/>
      <c r="M40" s="22"/>
    </row>
    <row r="41" spans="9:13" ht="12.75">
      <c r="I41" s="28">
        <f>+SUM(I26:I40)</f>
        <v>17.400000000000002</v>
      </c>
      <c r="J41" s="28">
        <f>+SUM(J26:J40)</f>
        <v>9.700000000000001</v>
      </c>
      <c r="K41" s="28">
        <f>+SUM(K26:K40)</f>
        <v>0</v>
      </c>
      <c r="L41" s="28">
        <f>+SUM(L26:L40)</f>
        <v>0</v>
      </c>
      <c r="M41" s="28">
        <f>+SUM(M26:M40)</f>
        <v>0</v>
      </c>
    </row>
    <row r="42" spans="9:13" ht="12.75">
      <c r="I42" s="29"/>
      <c r="J42" s="29"/>
      <c r="K42" s="29"/>
      <c r="L42" s="29"/>
      <c r="M42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Woodford&amp;R&amp;"Copperplate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38</v>
      </c>
      <c r="C3" s="19" t="s">
        <v>39</v>
      </c>
      <c r="D3" s="19" t="s">
        <v>1</v>
      </c>
      <c r="E3" s="19" t="s">
        <v>40</v>
      </c>
      <c r="F3" s="19" t="s">
        <v>9</v>
      </c>
      <c r="G3" s="19" t="s">
        <v>41</v>
      </c>
      <c r="I3" s="20">
        <v>2016</v>
      </c>
      <c r="J3" s="20">
        <v>2017</v>
      </c>
      <c r="K3" s="20">
        <v>2018</v>
      </c>
      <c r="L3" s="20">
        <v>2019</v>
      </c>
      <c r="M3" s="20">
        <v>2020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22" t="s">
        <v>284</v>
      </c>
      <c r="C5" s="17" t="s">
        <v>50</v>
      </c>
      <c r="D5" s="17" t="s">
        <v>74</v>
      </c>
      <c r="E5" s="43" t="s">
        <v>271</v>
      </c>
      <c r="F5" s="24">
        <v>3.4</v>
      </c>
      <c r="G5" s="25">
        <v>2020</v>
      </c>
      <c r="I5" s="26">
        <f aca="true" t="shared" si="0" ref="I5:M18">+IF($G5&gt;=I$3,$F5,0)</f>
        <v>3.4</v>
      </c>
      <c r="J5" s="26">
        <f t="shared" si="0"/>
        <v>3.4</v>
      </c>
      <c r="K5" s="26">
        <f t="shared" si="0"/>
        <v>3.4</v>
      </c>
      <c r="L5" s="26">
        <f t="shared" si="0"/>
        <v>3.4</v>
      </c>
      <c r="M5" s="26">
        <f t="shared" si="0"/>
        <v>3.4</v>
      </c>
    </row>
    <row r="6" spans="1:13" ht="12.75">
      <c r="A6" s="21">
        <v>2</v>
      </c>
      <c r="B6" s="32" t="s">
        <v>238</v>
      </c>
      <c r="C6" s="44" t="s">
        <v>50</v>
      </c>
      <c r="D6" s="44" t="s">
        <v>52</v>
      </c>
      <c r="E6" s="23" t="s">
        <v>221</v>
      </c>
      <c r="F6" s="24">
        <v>3.6</v>
      </c>
      <c r="G6" s="25">
        <v>2019</v>
      </c>
      <c r="I6" s="26">
        <f t="shared" si="0"/>
        <v>3.6</v>
      </c>
      <c r="J6" s="26">
        <f t="shared" si="0"/>
        <v>3.6</v>
      </c>
      <c r="K6" s="26">
        <f t="shared" si="0"/>
        <v>3.6</v>
      </c>
      <c r="L6" s="26">
        <f t="shared" si="0"/>
        <v>3.6</v>
      </c>
      <c r="M6" s="26">
        <f t="shared" si="0"/>
        <v>0</v>
      </c>
    </row>
    <row r="7" spans="1:13" ht="12.75">
      <c r="A7" s="21">
        <v>3</v>
      </c>
      <c r="B7" s="22" t="s">
        <v>174</v>
      </c>
      <c r="C7" s="17" t="s">
        <v>50</v>
      </c>
      <c r="D7" s="17" t="s">
        <v>78</v>
      </c>
      <c r="E7" s="23" t="s">
        <v>163</v>
      </c>
      <c r="F7" s="24">
        <v>22</v>
      </c>
      <c r="G7" s="25">
        <v>2018</v>
      </c>
      <c r="I7" s="26">
        <f t="shared" si="0"/>
        <v>22</v>
      </c>
      <c r="J7" s="26">
        <f t="shared" si="0"/>
        <v>22</v>
      </c>
      <c r="K7" s="26">
        <f t="shared" si="0"/>
        <v>22</v>
      </c>
      <c r="L7" s="26">
        <f t="shared" si="0"/>
        <v>0</v>
      </c>
      <c r="M7" s="26">
        <f t="shared" si="0"/>
        <v>0</v>
      </c>
    </row>
    <row r="8" spans="1:13" ht="12.75">
      <c r="A8" s="21">
        <v>4</v>
      </c>
      <c r="B8" s="32" t="s">
        <v>182</v>
      </c>
      <c r="C8" s="17" t="s">
        <v>50</v>
      </c>
      <c r="D8" s="17" t="s">
        <v>54</v>
      </c>
      <c r="E8" s="23" t="s">
        <v>163</v>
      </c>
      <c r="F8" s="24">
        <v>15.05</v>
      </c>
      <c r="G8" s="25">
        <v>2018</v>
      </c>
      <c r="I8" s="26">
        <f t="shared" si="0"/>
        <v>15.05</v>
      </c>
      <c r="J8" s="26">
        <f t="shared" si="0"/>
        <v>15.05</v>
      </c>
      <c r="K8" s="26">
        <f t="shared" si="0"/>
        <v>15.05</v>
      </c>
      <c r="L8" s="26">
        <f t="shared" si="0"/>
        <v>0</v>
      </c>
      <c r="M8" s="26">
        <f t="shared" si="0"/>
        <v>0</v>
      </c>
    </row>
    <row r="9" spans="1:13" ht="12.75">
      <c r="A9" s="21">
        <v>5</v>
      </c>
      <c r="B9" s="32" t="s">
        <v>175</v>
      </c>
      <c r="C9" s="17" t="s">
        <v>61</v>
      </c>
      <c r="D9" s="17" t="s">
        <v>79</v>
      </c>
      <c r="E9" s="23" t="s">
        <v>168</v>
      </c>
      <c r="F9" s="24">
        <v>5.25</v>
      </c>
      <c r="G9" s="25">
        <v>2018</v>
      </c>
      <c r="I9" s="26">
        <f t="shared" si="0"/>
        <v>5.25</v>
      </c>
      <c r="J9" s="26">
        <f t="shared" si="0"/>
        <v>5.25</v>
      </c>
      <c r="K9" s="26">
        <f t="shared" si="0"/>
        <v>5.25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32" t="s">
        <v>324</v>
      </c>
      <c r="C10" s="44" t="s">
        <v>42</v>
      </c>
      <c r="D10" s="44" t="s">
        <v>58</v>
      </c>
      <c r="E10" s="43" t="s">
        <v>297</v>
      </c>
      <c r="F10" s="24">
        <v>3.4</v>
      </c>
      <c r="G10" s="25">
        <v>2018</v>
      </c>
      <c r="I10" s="26">
        <f t="shared" si="0"/>
        <v>3.4</v>
      </c>
      <c r="J10" s="26">
        <f t="shared" si="0"/>
        <v>3.4</v>
      </c>
      <c r="K10" s="26">
        <f t="shared" si="0"/>
        <v>3.4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325</v>
      </c>
      <c r="C11" s="44" t="s">
        <v>42</v>
      </c>
      <c r="D11" s="44" t="s">
        <v>43</v>
      </c>
      <c r="E11" s="43" t="s">
        <v>297</v>
      </c>
      <c r="F11" s="24">
        <v>30.1</v>
      </c>
      <c r="G11" s="25">
        <v>2017</v>
      </c>
      <c r="I11" s="26">
        <f t="shared" si="0"/>
        <v>30.1</v>
      </c>
      <c r="J11" s="26">
        <f t="shared" si="0"/>
        <v>30.1</v>
      </c>
      <c r="K11" s="26">
        <f t="shared" si="0"/>
        <v>0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130</v>
      </c>
      <c r="C12" s="44" t="s">
        <v>55</v>
      </c>
      <c r="D12" s="44" t="s">
        <v>72</v>
      </c>
      <c r="E12" s="23" t="s">
        <v>44</v>
      </c>
      <c r="F12" s="24">
        <v>23.7</v>
      </c>
      <c r="G12" s="25">
        <v>2017</v>
      </c>
      <c r="I12" s="26">
        <f t="shared" si="0"/>
        <v>23.7</v>
      </c>
      <c r="J12" s="26">
        <f t="shared" si="0"/>
        <v>23.7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244</v>
      </c>
      <c r="C13" s="17" t="s">
        <v>53</v>
      </c>
      <c r="D13" s="17" t="s">
        <v>58</v>
      </c>
      <c r="E13" s="43" t="s">
        <v>242</v>
      </c>
      <c r="F13" s="24">
        <v>10.8</v>
      </c>
      <c r="G13" s="25">
        <v>2017</v>
      </c>
      <c r="I13" s="26">
        <f t="shared" si="0"/>
        <v>10.8</v>
      </c>
      <c r="J13" s="26">
        <f t="shared" si="0"/>
        <v>10.8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323</v>
      </c>
      <c r="C14" s="44" t="s">
        <v>45</v>
      </c>
      <c r="D14" s="44" t="s">
        <v>83</v>
      </c>
      <c r="E14" s="43" t="s">
        <v>297</v>
      </c>
      <c r="F14" s="24">
        <v>33.15</v>
      </c>
      <c r="G14" s="25">
        <v>2016</v>
      </c>
      <c r="I14" s="26">
        <f t="shared" si="0"/>
        <v>33.15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304</v>
      </c>
      <c r="C15" s="17" t="s">
        <v>42</v>
      </c>
      <c r="D15" s="17" t="s">
        <v>71</v>
      </c>
      <c r="E15" s="43" t="s">
        <v>297</v>
      </c>
      <c r="F15" s="24">
        <v>29.1</v>
      </c>
      <c r="G15" s="25">
        <v>2016</v>
      </c>
      <c r="I15" s="26">
        <f t="shared" si="0"/>
        <v>29.1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22" t="s">
        <v>93</v>
      </c>
      <c r="C16" s="17" t="s">
        <v>61</v>
      </c>
      <c r="D16" s="17" t="s">
        <v>78</v>
      </c>
      <c r="E16" s="43" t="s">
        <v>201</v>
      </c>
      <c r="F16" s="24">
        <v>12.35</v>
      </c>
      <c r="G16" s="25">
        <v>2016</v>
      </c>
      <c r="I16" s="26">
        <f t="shared" si="0"/>
        <v>12.35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260</v>
      </c>
      <c r="C17" s="17" t="s">
        <v>42</v>
      </c>
      <c r="D17" s="17" t="s">
        <v>64</v>
      </c>
      <c r="E17" s="43" t="s">
        <v>297</v>
      </c>
      <c r="F17" s="24">
        <v>4.15</v>
      </c>
      <c r="G17" s="25">
        <v>2016</v>
      </c>
      <c r="I17" s="26">
        <f t="shared" si="0"/>
        <v>4.15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335</v>
      </c>
      <c r="C18" s="17" t="s">
        <v>45</v>
      </c>
      <c r="D18" s="17" t="s">
        <v>70</v>
      </c>
      <c r="E18" s="23" t="s">
        <v>336</v>
      </c>
      <c r="F18" s="24">
        <v>3.4</v>
      </c>
      <c r="G18" s="25">
        <v>2016</v>
      </c>
      <c r="I18" s="26">
        <f t="shared" si="0"/>
        <v>3.4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42"/>
      <c r="C20" s="44"/>
      <c r="D20" s="44"/>
      <c r="E20" s="43"/>
      <c r="F20" s="24"/>
      <c r="G20" s="25"/>
      <c r="I20" s="28">
        <f>+SUM(I5:I18)</f>
        <v>199.45</v>
      </c>
      <c r="J20" s="28">
        <f>+SUM(J5:J18)</f>
        <v>117.3</v>
      </c>
      <c r="K20" s="28">
        <f>+SUM(K5:K18)</f>
        <v>52.699999999999996</v>
      </c>
      <c r="L20" s="28">
        <f>+SUM(L5:L18)</f>
        <v>7</v>
      </c>
      <c r="M20" s="28">
        <f>+SUM(M5:M18)</f>
        <v>3.4</v>
      </c>
    </row>
    <row r="22" spans="1:13" ht="15.75">
      <c r="A22" s="103" t="s">
        <v>59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38</v>
      </c>
      <c r="C24" s="19" t="s">
        <v>39</v>
      </c>
      <c r="D24" s="19" t="s">
        <v>1</v>
      </c>
      <c r="E24" s="19" t="s">
        <v>60</v>
      </c>
      <c r="F24" s="19" t="s">
        <v>9</v>
      </c>
      <c r="G24" s="19" t="s">
        <v>41</v>
      </c>
      <c r="I24" s="20">
        <f>+I3</f>
        <v>2016</v>
      </c>
      <c r="J24" s="20">
        <f>+J3</f>
        <v>2017</v>
      </c>
      <c r="K24" s="20">
        <f>+K$3</f>
        <v>2018</v>
      </c>
      <c r="L24" s="20">
        <f>+L$3</f>
        <v>2019</v>
      </c>
      <c r="M24" s="20">
        <f>+M$3</f>
        <v>2020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22" t="s">
        <v>142</v>
      </c>
      <c r="C26" s="44" t="s">
        <v>45</v>
      </c>
      <c r="D26" s="44" t="s">
        <v>76</v>
      </c>
      <c r="E26" s="43">
        <v>2015</v>
      </c>
      <c r="F26" s="24">
        <v>4.9</v>
      </c>
      <c r="G26" s="25">
        <v>2017</v>
      </c>
      <c r="I26" s="26">
        <f aca="true" t="shared" si="1" ref="I26:I33">+CEILING(IF($I$24=E26,F26,IF($I$24&lt;=G26,F26*0.3,0)),0.05)</f>
        <v>1.5</v>
      </c>
      <c r="J26" s="26">
        <f aca="true" t="shared" si="2" ref="J26:J33">+CEILING(IF($J$24&lt;=G26,F26*0.3,0),0.05)</f>
        <v>1.5</v>
      </c>
      <c r="K26" s="26">
        <f aca="true" t="shared" si="3" ref="K26:K33">+CEILING(IF($K$24&lt;=G26,F26*0.3,0),0.05)</f>
        <v>0</v>
      </c>
      <c r="L26" s="26">
        <f aca="true" t="shared" si="4" ref="L26:L33">+CEILING(IF($L$24&lt;=G26,F26*0.3,0),0.05)</f>
        <v>0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32" t="s">
        <v>121</v>
      </c>
      <c r="C27" s="17" t="s">
        <v>66</v>
      </c>
      <c r="D27" s="17" t="s">
        <v>83</v>
      </c>
      <c r="E27" s="43">
        <v>2014</v>
      </c>
      <c r="F27" s="24">
        <v>2.6</v>
      </c>
      <c r="G27" s="25">
        <v>2016</v>
      </c>
      <c r="I27" s="26">
        <f t="shared" si="1"/>
        <v>0.8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22"/>
      <c r="C28" s="44"/>
      <c r="D28" s="44"/>
      <c r="E28" s="43"/>
      <c r="F28" s="24"/>
      <c r="G28" s="25"/>
      <c r="I28" s="26">
        <f t="shared" si="1"/>
        <v>0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42"/>
      <c r="C29" s="44"/>
      <c r="D29" s="44"/>
      <c r="E29" s="43"/>
      <c r="F29" s="24"/>
      <c r="G29" s="25"/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22"/>
      <c r="D30" s="17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/>
      <c r="D31" s="17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9:13" ht="7.5" customHeight="1">
      <c r="I34" s="22"/>
      <c r="J34" s="22"/>
      <c r="K34" s="22"/>
      <c r="L34" s="22"/>
      <c r="M34" s="22"/>
    </row>
    <row r="35" spans="9:13" ht="12.75">
      <c r="I35" s="28">
        <f>+SUM(I26:I34)</f>
        <v>2.3</v>
      </c>
      <c r="J35" s="28">
        <f>+SUM(J26:J34)</f>
        <v>1.5</v>
      </c>
      <c r="K35" s="28">
        <f>+SUM(K26:K34)</f>
        <v>0</v>
      </c>
      <c r="L35" s="28">
        <f>+SUM(L26:L34)</f>
        <v>0</v>
      </c>
      <c r="M35" s="28">
        <f>+SUM(M26:M34)</f>
        <v>0</v>
      </c>
    </row>
    <row r="36" spans="9:13" ht="12.75">
      <c r="I36" s="29"/>
      <c r="J36" s="29"/>
      <c r="K36" s="29"/>
      <c r="L36" s="29"/>
      <c r="M36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Light,Bold"&amp;14Bill Woodford&amp;R&amp;"Copperplate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9.421875" style="50" customWidth="1"/>
    <col min="2" max="2" width="2.7109375" style="50" customWidth="1"/>
    <col min="3" max="3" width="4.7109375" style="50" customWidth="1"/>
    <col min="4" max="4" width="6.7109375" style="50" customWidth="1"/>
    <col min="5" max="5" width="0.85546875" style="50" customWidth="1"/>
    <col min="6" max="6" width="4.7109375" style="50" customWidth="1"/>
    <col min="7" max="7" width="7.57421875" style="50" customWidth="1"/>
    <col min="8" max="8" width="0.85546875" style="50" customWidth="1"/>
    <col min="9" max="9" width="4.7109375" style="50" customWidth="1"/>
    <col min="10" max="10" width="7.28125" style="50" customWidth="1"/>
    <col min="11" max="11" width="0.85546875" style="50" customWidth="1"/>
    <col min="12" max="12" width="4.7109375" style="50" customWidth="1"/>
    <col min="13" max="13" width="7.57421875" style="50" customWidth="1"/>
    <col min="14" max="14" width="0.85546875" style="50" customWidth="1"/>
    <col min="15" max="15" width="4.7109375" style="50" customWidth="1"/>
    <col min="16" max="16" width="6.7109375" style="50" customWidth="1"/>
    <col min="17" max="17" width="0.85546875" style="50" customWidth="1"/>
    <col min="18" max="18" width="4.7109375" style="50" customWidth="1"/>
    <col min="19" max="19" width="6.7109375" style="50" customWidth="1"/>
    <col min="20" max="20" width="0.85546875" style="50" customWidth="1"/>
    <col min="21" max="21" width="4.7109375" style="50" customWidth="1"/>
    <col min="22" max="22" width="6.7109375" style="50" customWidth="1"/>
    <col min="23" max="23" width="0.85546875" style="50" customWidth="1"/>
    <col min="24" max="24" width="4.7109375" style="50" customWidth="1"/>
    <col min="25" max="25" width="6.7109375" style="50" customWidth="1"/>
    <col min="26" max="26" width="1.7109375" style="50" customWidth="1"/>
    <col min="27" max="27" width="4.7109375" style="50" customWidth="1"/>
    <col min="28" max="28" width="6.7109375" style="50" customWidth="1"/>
    <col min="29" max="30" width="1.7109375" style="50" customWidth="1"/>
    <col min="31" max="31" width="7.7109375" style="50" customWidth="1"/>
    <col min="32" max="16384" width="9.140625" style="50" customWidth="1"/>
  </cols>
  <sheetData>
    <row r="1" spans="1:31" ht="18.75">
      <c r="A1" s="87" t="s">
        <v>184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9"/>
      <c r="AE1" s="49"/>
    </row>
    <row r="2" spans="3:31" s="51" customFormat="1" ht="7.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4"/>
      <c r="U2" s="54"/>
      <c r="V2" s="53"/>
      <c r="W2" s="53"/>
      <c r="X2" s="52"/>
      <c r="Y2" s="52"/>
      <c r="Z2" s="53"/>
      <c r="AA2" s="52"/>
      <c r="AB2" s="52"/>
      <c r="AC2" s="53"/>
      <c r="AD2" s="54"/>
      <c r="AE2" s="53"/>
    </row>
    <row r="3" spans="1:31" s="56" customFormat="1" ht="15">
      <c r="A3" s="55" t="s">
        <v>1</v>
      </c>
      <c r="C3" s="96" t="s">
        <v>50</v>
      </c>
      <c r="D3" s="96"/>
      <c r="E3" s="57"/>
      <c r="F3" s="96" t="s">
        <v>45</v>
      </c>
      <c r="G3" s="96"/>
      <c r="H3" s="57"/>
      <c r="I3" s="96" t="s">
        <v>57</v>
      </c>
      <c r="J3" s="96"/>
      <c r="K3" s="57"/>
      <c r="L3" s="96" t="s">
        <v>55</v>
      </c>
      <c r="M3" s="96"/>
      <c r="N3" s="57"/>
      <c r="O3" s="96" t="s">
        <v>53</v>
      </c>
      <c r="P3" s="96"/>
      <c r="Q3" s="57"/>
      <c r="R3" s="96" t="s">
        <v>66</v>
      </c>
      <c r="S3" s="96"/>
      <c r="T3" s="57"/>
      <c r="U3" s="96" t="s">
        <v>48</v>
      </c>
      <c r="V3" s="96"/>
      <c r="W3" s="57"/>
      <c r="X3" s="96" t="s">
        <v>42</v>
      </c>
      <c r="Y3" s="96"/>
      <c r="Z3" s="58"/>
      <c r="AA3" s="96" t="s">
        <v>61</v>
      </c>
      <c r="AB3" s="96"/>
      <c r="AC3" s="58"/>
      <c r="AD3" s="57"/>
      <c r="AE3" s="57" t="s">
        <v>9</v>
      </c>
    </row>
    <row r="4" s="51" customFormat="1" ht="7.5" customHeight="1"/>
    <row r="5" spans="1:31" s="56" customFormat="1" ht="15" customHeight="1">
      <c r="A5" s="59" t="s">
        <v>89</v>
      </c>
      <c r="C5" s="60">
        <f>+COUNTIF(Barton!$C$5:$C$18,"=PG")</f>
        <v>4</v>
      </c>
      <c r="D5" s="61">
        <f>SUMIF(Barton!$C$5:$C$18,"PG",Barton!$F$5:$F$18)</f>
        <v>17.8</v>
      </c>
      <c r="E5" s="62"/>
      <c r="F5" s="60">
        <f>+COUNTIF(Barton!$C$5:$C$18,"=G")</f>
        <v>0</v>
      </c>
      <c r="G5" s="61">
        <f>SUMIF(Barton!$C$5:$C$18,"G",Barton!$F$5:$F$18)</f>
        <v>0</v>
      </c>
      <c r="H5" s="62"/>
      <c r="I5" s="60">
        <f>+COUNTIF(Barton!$C$5:$C$18,"=SG")</f>
        <v>1</v>
      </c>
      <c r="J5" s="61">
        <f>SUMIF(Barton!$C$5:$C$18,"SG",Barton!$F$5:$F$18)</f>
        <v>3</v>
      </c>
      <c r="K5" s="62"/>
      <c r="L5" s="60">
        <f>+COUNTIF(Barton!$C$5:$C$18,"=GF")</f>
        <v>1</v>
      </c>
      <c r="M5" s="61">
        <f>SUMIF(Barton!$C$5:$C$18,"GF",Barton!$F$5:$F$18)</f>
        <v>46.1</v>
      </c>
      <c r="N5" s="62"/>
      <c r="O5" s="60">
        <f>+COUNTIF(Barton!$C$5:$C$18,"=SF")</f>
        <v>2</v>
      </c>
      <c r="P5" s="61">
        <f>SUMIF(Barton!$C$5:$C$18,"SF",Barton!$F$5:$F$18)</f>
        <v>11.05</v>
      </c>
      <c r="Q5" s="62"/>
      <c r="R5" s="60">
        <f>+COUNTIF(Barton!$C$5:$C$18,"=F")</f>
        <v>2</v>
      </c>
      <c r="S5" s="61">
        <f>SUMIF(Barton!$C$5:$C$18,"F",Barton!$F$5:$F$18)</f>
        <v>54.2</v>
      </c>
      <c r="T5" s="62"/>
      <c r="U5" s="60">
        <f>+COUNTIF(Barton!$C$5:$C$18,"=PF")</f>
        <v>0</v>
      </c>
      <c r="V5" s="61">
        <f>SUMIF(Barton!$C$5:$C$18,"PF",Barton!$F$5:$F$18)</f>
        <v>0</v>
      </c>
      <c r="X5" s="60">
        <f>+COUNTIF(Barton!$C$5:$C$18,"=FC")</f>
        <v>2</v>
      </c>
      <c r="Y5" s="61">
        <f>SUMIF(Barton!$C$5:$C$18,"FC",Barton!$F$5:$F$18)</f>
        <v>22.8</v>
      </c>
      <c r="AA5" s="60">
        <f>+COUNTIF(Barton!$C$5:$C$18,"=C")</f>
        <v>2</v>
      </c>
      <c r="AB5" s="61">
        <f>SUMIF(Barton!$C$5:$C$18,"C",Barton!$F$5:$F$18)</f>
        <v>22.35</v>
      </c>
      <c r="AD5" s="62"/>
      <c r="AE5" s="61">
        <f>D5+G5+J5+P5+S5+V5+Y5+AB5+M5</f>
        <v>177.3</v>
      </c>
    </row>
    <row r="6" spans="1:31" s="56" customFormat="1" ht="15" customHeight="1">
      <c r="A6" s="59" t="s">
        <v>294</v>
      </c>
      <c r="C6" s="60">
        <f>+COUNTIF(Seehusen!$C$5:$C$18,"=PG")</f>
        <v>3</v>
      </c>
      <c r="D6" s="61">
        <f>SUMIF(Seehusen!$C$5:$C$18,"PG",Seehusen!$F$5:$F$18)</f>
        <v>46.5</v>
      </c>
      <c r="E6" s="62"/>
      <c r="F6" s="60">
        <f>+COUNTIF(Seehusen!$C$5:$C$18,"=G")</f>
        <v>0</v>
      </c>
      <c r="G6" s="61">
        <f>SUMIF(Seehusen!$C$5:$C$18,"G",Seehusen!$F$5:$F$18)</f>
        <v>0</v>
      </c>
      <c r="H6" s="62"/>
      <c r="I6" s="60">
        <f>+COUNTIF(Seehusen!$C$5:$C$18,"=SG")</f>
        <v>1</v>
      </c>
      <c r="J6" s="61">
        <f>SUMIF(Seehusen!$C$5:$C$18,"SG",Seehusen!$F$5:$F$18)</f>
        <v>3.4</v>
      </c>
      <c r="K6" s="62"/>
      <c r="L6" s="60">
        <f>+COUNTIF(Seehusen!$C$5:$C$18,"=Gf")</f>
        <v>4</v>
      </c>
      <c r="M6" s="61">
        <f>SUMIF(Seehusen!$C$5:$C$18,"GF",Seehusen!$F$5:$F$18)</f>
        <v>51.1</v>
      </c>
      <c r="N6" s="62"/>
      <c r="O6" s="60">
        <f>+COUNTIF(Seehusen!$C$5:$C$18,"=SF")</f>
        <v>1</v>
      </c>
      <c r="P6" s="61">
        <f>SUMIF(Seehusen!$C$5:$C$18,"SF",Seehusen!$F$5:$F$18)</f>
        <v>5.95</v>
      </c>
      <c r="Q6" s="62"/>
      <c r="R6" s="60">
        <f>+COUNTIF(Seehusen!$C$5:$C$18,"=F")</f>
        <v>0</v>
      </c>
      <c r="S6" s="61">
        <f>SUMIF(Seehusen!$C$5:$C$18,"F",Seehusen!$F$5:$F$18)</f>
        <v>0</v>
      </c>
      <c r="T6" s="62"/>
      <c r="U6" s="60">
        <f>+COUNTIF(Seehusen!$C$5:$C$18,"=PF")</f>
        <v>2</v>
      </c>
      <c r="V6" s="61">
        <f>SUMIF(Seehusen!$C$5:$C$18,"PF",Seehusen!$F$5:$F$18)</f>
        <v>20.9</v>
      </c>
      <c r="X6" s="60">
        <f>+COUNTIF(Seehusen!$C$5:$C$18,"=FC")</f>
        <v>1</v>
      </c>
      <c r="Y6" s="61">
        <f>SUMIF(Seehusen!$C$5:$C$18,"FC",Seehusen!$F$5:$F$18)</f>
        <v>3.4</v>
      </c>
      <c r="AA6" s="60">
        <f>+COUNTIF(Seehusen!$C$5:$C$18,"=C")</f>
        <v>2</v>
      </c>
      <c r="AB6" s="61">
        <f>SUMIF(Seehusen!$C$5:$C$18,"C",Seehusen!$F$5:$F$18)</f>
        <v>25.95</v>
      </c>
      <c r="AD6" s="62"/>
      <c r="AE6" s="61">
        <f aca="true" t="shared" si="0" ref="AE6:AE18">D6+G6+J6+P6+S6+V6+Y6+AB6+M6</f>
        <v>157.20000000000002</v>
      </c>
    </row>
    <row r="7" spans="1:31" s="56" customFormat="1" ht="15" customHeight="1">
      <c r="A7" s="59" t="s">
        <v>14</v>
      </c>
      <c r="C7" s="60">
        <f>+COUNTIF(Cadmus!$C$5:$C$18,"=PG")</f>
        <v>3</v>
      </c>
      <c r="D7" s="61">
        <f>SUMIF(Cadmus!$C$5:$C$18,"PG",Cadmus!$F$5:$F$18)</f>
        <v>46.55</v>
      </c>
      <c r="E7" s="62"/>
      <c r="F7" s="60">
        <f>+COUNTIF(Cadmus!$C$5:$C$18,"=G")</f>
        <v>2</v>
      </c>
      <c r="G7" s="61">
        <f>SUMIF(Cadmus!$C$5:$C$18,"G",Cadmus!$F$5:$F$18)</f>
        <v>14.4</v>
      </c>
      <c r="H7" s="62"/>
      <c r="I7" s="60">
        <f>+COUNTIF(Cadmus!$C$5:$C$18,"=SG")</f>
        <v>1</v>
      </c>
      <c r="J7" s="61">
        <f>SUMIF(Cadmus!$C$5:$C$18,"SG",Cadmus!$F$5:$F$18)</f>
        <v>3.4</v>
      </c>
      <c r="K7" s="62"/>
      <c r="L7" s="60">
        <f>+COUNTIF(Cadmus!$C$5:$C$18,"=Gf")</f>
        <v>1</v>
      </c>
      <c r="M7" s="61">
        <f>SUMIF(Cadmus!$C$5:$C$18,"GF",Cadmus!$F$5:$F$18)</f>
        <v>3.4</v>
      </c>
      <c r="N7" s="62"/>
      <c r="O7" s="60">
        <f>+COUNTIF(Cadmus!$C$5:$C$18,"=SF")</f>
        <v>1</v>
      </c>
      <c r="P7" s="61">
        <f>SUMIF(Cadmus!$C$5:$C$18,"SF",Cadmus!$F$5:$F$18)</f>
        <v>3.4</v>
      </c>
      <c r="Q7" s="62"/>
      <c r="R7" s="60">
        <f>+COUNTIF(Cadmus!$C$5:$C$18,"=F")</f>
        <v>1</v>
      </c>
      <c r="S7" s="61">
        <f>SUMIF(Cadmus!$C$5:$C$18,"F",Cadmus!$F$5:$F$18)</f>
        <v>3.4</v>
      </c>
      <c r="T7" s="62"/>
      <c r="U7" s="60">
        <f>+COUNTIF(Cadmus!$C$5:$C$18,"=PF")</f>
        <v>1</v>
      </c>
      <c r="V7" s="61">
        <f>SUMIF(Cadmus!$C$5:$C$18,"PF",Cadmus!$F$5:$F$18)</f>
        <v>9.35</v>
      </c>
      <c r="X7" s="60">
        <f>+COUNTIF(Cadmus!$C$5:$C$18,"=FC")</f>
        <v>2</v>
      </c>
      <c r="Y7" s="61">
        <f>SUMIF(Cadmus!$C$5:$C$18,"FC",Cadmus!$F$5:$F$18)</f>
        <v>33.6</v>
      </c>
      <c r="AA7" s="60">
        <f>+COUNTIF(Cadmus!$C$5:$C$18,"=C")</f>
        <v>2</v>
      </c>
      <c r="AB7" s="61">
        <f>SUMIF(Cadmus!$C$5:$C$18,"C",Cadmus!$F$5:$F$18)</f>
        <v>36.25</v>
      </c>
      <c r="AD7" s="62"/>
      <c r="AE7" s="61">
        <f t="shared" si="0"/>
        <v>153.75</v>
      </c>
    </row>
    <row r="8" spans="1:31" s="56" customFormat="1" ht="15" customHeight="1">
      <c r="A8" s="59" t="s">
        <v>187</v>
      </c>
      <c r="B8" s="59"/>
      <c r="C8" s="60">
        <f>+COUNTIF(Chockalingam!$C$5:$C$18,"=PG")</f>
        <v>1</v>
      </c>
      <c r="D8" s="61">
        <f>SUMIF(Chockalingam!$C$5:$C$18,"PG",Chockalingam!$F$5:$F$18)</f>
        <v>8.25</v>
      </c>
      <c r="E8" s="62"/>
      <c r="F8" s="60">
        <f>+COUNTIF(Chockalingam!$C$5:$C$18,"=G")</f>
        <v>3</v>
      </c>
      <c r="G8" s="61">
        <f>SUMIF(Chockalingam!$C$5:$C$18,"G",Chockalingam!$F$5:$F$18)</f>
        <v>48.4</v>
      </c>
      <c r="H8" s="62"/>
      <c r="I8" s="60">
        <f>+COUNTIF(Chockalingam!$C$5:$C$18,"=SG")</f>
        <v>1</v>
      </c>
      <c r="J8" s="61">
        <f>SUMIF(Chockalingam!$C$5:$C$18,"SG",Chockalingam!$F$5:$F$18)</f>
        <v>9</v>
      </c>
      <c r="K8" s="62"/>
      <c r="L8" s="60">
        <f>+COUNTIF(Chockalingam!$C$5:$C$18,"=GF")</f>
        <v>2</v>
      </c>
      <c r="M8" s="61">
        <f>SUMIF(Chockalingam!$C$5:$C$18,"GF",Chockalingam!$F$5:$F$18)</f>
        <v>7.949999999999999</v>
      </c>
      <c r="N8" s="62"/>
      <c r="O8" s="60">
        <f>+COUNTIF(Chockalingam!$C$5:$C$18,"=SF")</f>
        <v>1</v>
      </c>
      <c r="P8" s="61">
        <f>SUMIF(Chockalingam!$C$5:$C$18,"SF",Chockalingam!$F$5:$F$18)</f>
        <v>12.75</v>
      </c>
      <c r="Q8" s="62"/>
      <c r="R8" s="60">
        <f>+COUNTIF(Chockalingam!$C$5:$C$18,"=F")</f>
        <v>0</v>
      </c>
      <c r="S8" s="61">
        <f>SUMIF(Chockalingam!$C$5:$C$18,"F",Chockalingam!$F$5:$F$18)</f>
        <v>0</v>
      </c>
      <c r="T8" s="62"/>
      <c r="U8" s="60">
        <f>+COUNTIF(Chockalingam!$C$5:$C$18,"=PF")</f>
        <v>2</v>
      </c>
      <c r="V8" s="61">
        <f>SUMIF(Chockalingam!$C$5:$C$18,"PF",Chockalingam!$F$5:$F$18)</f>
        <v>9</v>
      </c>
      <c r="X8" s="60">
        <f>+COUNTIF(Chockalingam!$C$5:$C$18,"=FC")</f>
        <v>2</v>
      </c>
      <c r="Y8" s="61">
        <f>SUMIF(Chockalingam!$C$5:$C$18,"FC",Chockalingam!$F$5:$F$18)</f>
        <v>6.8</v>
      </c>
      <c r="AA8" s="60">
        <f>+COUNTIF(Chockalingam!$C$5:$C$18,"=C")</f>
        <v>2</v>
      </c>
      <c r="AB8" s="61">
        <f>SUMIF(Chockalingam!$C$5:$C$18,"C",Chockalingam!$F$5:$F$18)</f>
        <v>25.8</v>
      </c>
      <c r="AD8" s="62"/>
      <c r="AE8" s="61">
        <f t="shared" si="0"/>
        <v>127.95</v>
      </c>
    </row>
    <row r="9" spans="1:31" s="56" customFormat="1" ht="15" customHeight="1">
      <c r="A9" s="59" t="s">
        <v>11</v>
      </c>
      <c r="B9" s="59"/>
      <c r="C9" s="60">
        <f>+COUNTIF(Fernald!$C$5:$C$18,"=PG")</f>
        <v>1</v>
      </c>
      <c r="D9" s="61">
        <f>SUMIF(Fernald!$C$5:$C$18,"PG",Fernald!$F$5:$F$18)</f>
        <v>3.4</v>
      </c>
      <c r="E9" s="62"/>
      <c r="F9" s="60">
        <f>+COUNTIF(Fernald!$C$5:$C$18,"=G")</f>
        <v>2</v>
      </c>
      <c r="G9" s="61">
        <f>SUMIF(Fernald!$C$5:$C$18,"G",Fernald!$F$5:$F$18)</f>
        <v>52.8</v>
      </c>
      <c r="H9" s="62"/>
      <c r="I9" s="60">
        <f>+COUNTIF(Fernald!$C$5:$C$18,"=SG")</f>
        <v>0</v>
      </c>
      <c r="J9" s="61">
        <f>SUMIF(Fernald!$C$5:$C$18,"SG",Fernald!$F$5:$F$18)</f>
        <v>0</v>
      </c>
      <c r="K9" s="62"/>
      <c r="L9" s="60">
        <f>+COUNTIF(Fernald!$C$5:$C$18,"=GF")</f>
        <v>2</v>
      </c>
      <c r="M9" s="61">
        <f>SUMIF(Fernald!$C$5:$C$18,"GF",Fernald!$F$5:$F$18)</f>
        <v>27.55</v>
      </c>
      <c r="N9" s="62"/>
      <c r="O9" s="60">
        <f>+COUNTIF(Fernald!$C$5:$C$18,"=SF")</f>
        <v>1</v>
      </c>
      <c r="P9" s="61">
        <f>SUMIF(Fernald!$C$5:$C$18,"SF",Fernald!$F$5:$F$18)</f>
        <v>2.8</v>
      </c>
      <c r="Q9" s="62"/>
      <c r="R9" s="60">
        <f>+COUNTIF(Fernald!$C$5:$C$18,"=F")</f>
        <v>5</v>
      </c>
      <c r="S9" s="61">
        <f>SUMIF(Fernald!$C$5:$C$18,"F",Fernald!$F$5:$F$18)</f>
        <v>86.05000000000001</v>
      </c>
      <c r="T9" s="62"/>
      <c r="U9" s="60">
        <f>+COUNTIF(Fernald!$C$5:$C$18,"=PF")</f>
        <v>0</v>
      </c>
      <c r="V9" s="61">
        <f>SUMIF(Fernald!$C$5:$C$18,"PF",Fernald!$F$5:$F$18)</f>
        <v>0</v>
      </c>
      <c r="X9" s="60">
        <f>+COUNTIF(Fernald!$C$5:$C$18,"=FC")</f>
        <v>2</v>
      </c>
      <c r="Y9" s="61">
        <f>SUMIF(Fernald!$C$5:$C$18,"FC",Fernald!$F$5:$F$18)</f>
        <v>6.8</v>
      </c>
      <c r="AA9" s="60">
        <f>+COUNTIF(Fernald!$C$5:$C$18,"=C")</f>
        <v>1</v>
      </c>
      <c r="AB9" s="61">
        <f>SUMIF(Fernald!$C$5:$C$18,"C",Fernald!$F$5:$F$18)</f>
        <v>12.8</v>
      </c>
      <c r="AD9" s="62"/>
      <c r="AE9" s="61">
        <f t="shared" si="0"/>
        <v>192.20000000000005</v>
      </c>
    </row>
    <row r="10" spans="1:31" s="56" customFormat="1" ht="15" customHeight="1">
      <c r="A10" s="59" t="s">
        <v>88</v>
      </c>
      <c r="C10" s="60">
        <f>+COUNTIF(Jagot!$C$5:$C$18,"=PG")</f>
        <v>2</v>
      </c>
      <c r="D10" s="61">
        <f>SUMIF(Jagot!$C$5:$C$18,"PG",Jagot!$F$5:$F$18)</f>
        <v>27.3</v>
      </c>
      <c r="E10" s="62"/>
      <c r="F10" s="60">
        <f>+COUNTIF(Jagot!$C$5:$C$18,"=G")</f>
        <v>2</v>
      </c>
      <c r="G10" s="61">
        <f>SUMIF(Jagot!$C$5:$C$18,"G",Jagot!$F$5:$F$18)</f>
        <v>20.8</v>
      </c>
      <c r="H10" s="62"/>
      <c r="I10" s="60">
        <f>+COUNTIF(Jagot!$C$5:$C$18,"=SG")</f>
        <v>2</v>
      </c>
      <c r="J10" s="61">
        <f>SUMIF(Jagot!$C$5:$C$18,"SG",Jagot!$F$5:$F$18)</f>
        <v>13.6</v>
      </c>
      <c r="K10" s="62"/>
      <c r="L10" s="60">
        <f>+COUNTIF(Jagot!$C$5:$C$18,"=GF")</f>
        <v>1</v>
      </c>
      <c r="M10" s="61">
        <f>SUMIF(Jagot!$C$5:$C$18,"GF",Jagot!$F$5:$F$18)</f>
        <v>11.25</v>
      </c>
      <c r="N10" s="62"/>
      <c r="O10" s="60">
        <f>+COUNTIF(Jagot!$C$5:$C$18,"=SF")</f>
        <v>2</v>
      </c>
      <c r="P10" s="61">
        <f>SUMIF(Jagot!$C$5:$C$18,"SF",Jagot!$F$5:$F$18)</f>
        <v>7.9</v>
      </c>
      <c r="Q10" s="62"/>
      <c r="R10" s="60">
        <f>+COUNTIF(Jagot!$C$5:$C$18,"=F")</f>
        <v>1</v>
      </c>
      <c r="S10" s="61">
        <f>SUMIF(Jagot!$C$5:$C$18,"F",Jagot!$F$5:$F$18)</f>
        <v>3</v>
      </c>
      <c r="T10" s="62"/>
      <c r="U10" s="60">
        <f>+COUNTIF(Jagot!$C$5:$C$18,"=PF")</f>
        <v>0</v>
      </c>
      <c r="V10" s="61">
        <f>SUMIF(Jagot!$C$5:$C$18,"PF",Jagot!$F$5:$F$18)</f>
        <v>0</v>
      </c>
      <c r="X10" s="60">
        <f>+COUNTIF(Jagot!$C$5:$C$18,"=FC")</f>
        <v>2</v>
      </c>
      <c r="Y10" s="61">
        <f>SUMIF(Jagot!$C$5:$C$18,"FC",Jagot!$F$5:$F$18)</f>
        <v>39.65</v>
      </c>
      <c r="AA10" s="60">
        <f>+COUNTIF(Jagot!$C$5:$C$18,"=C")</f>
        <v>2</v>
      </c>
      <c r="AB10" s="61">
        <f>SUMIF(Jagot!$C$5:$C$18,"C",Jagot!$F$5:$F$18)</f>
        <v>6.6</v>
      </c>
      <c r="AD10" s="62"/>
      <c r="AE10" s="61">
        <f t="shared" si="0"/>
        <v>130.1</v>
      </c>
    </row>
    <row r="11" spans="1:31" s="56" customFormat="1" ht="15" customHeight="1">
      <c r="A11" s="59" t="s">
        <v>12</v>
      </c>
      <c r="C11" s="60">
        <f>+COUNTIF(Kumar!$C$5:$C$18,"=PG")</f>
        <v>2</v>
      </c>
      <c r="D11" s="61">
        <f>SUMIF(Kumar!$C$5:$C$18,"PG",Kumar!$F$5:$F$18)</f>
        <v>20.65</v>
      </c>
      <c r="E11" s="62"/>
      <c r="F11" s="60">
        <f>+COUNTIF(Kumar!$C$5:$C$18,"=G")</f>
        <v>4</v>
      </c>
      <c r="G11" s="61">
        <f>SUMIF(Kumar!$C$5:$C$18,"G",Kumar!$F$5:$F$18)</f>
        <v>16.45</v>
      </c>
      <c r="H11" s="62"/>
      <c r="I11" s="60">
        <f>+COUNTIF(Kumar!$C$5:$C$18,"=SG")</f>
        <v>2</v>
      </c>
      <c r="J11" s="61">
        <f>SUMIF(Kumar!$C$5:$C$18,"SG",Kumar!$F$5:$F$18)</f>
        <v>9.7</v>
      </c>
      <c r="K11" s="62"/>
      <c r="L11" s="60">
        <f>+COUNTIF(Kumar!$C$5:$C$18,"=GF")</f>
        <v>0</v>
      </c>
      <c r="M11" s="61">
        <f>SUMIF(Kumar!$C$5:$C$18,"GF",Kumar!$F$5:$F$18)</f>
        <v>0</v>
      </c>
      <c r="N11" s="62"/>
      <c r="O11" s="60">
        <f>+COUNTIF(Kumar!$C$5:$C$18,"=SF")</f>
        <v>1</v>
      </c>
      <c r="P11" s="61">
        <f>SUMIF(Kumar!$C$5:$C$18,"SF",Kumar!$F$5:$F$18)</f>
        <v>3.2</v>
      </c>
      <c r="Q11" s="62"/>
      <c r="R11" s="60">
        <f>+COUNTIF(Kumar!$C$5:$C$18,"=F")</f>
        <v>0</v>
      </c>
      <c r="S11" s="61">
        <f>SUMIF(Kumar!$C$5:$C$18,"F",Kumar!$F$5:$F$18)</f>
        <v>0</v>
      </c>
      <c r="T11" s="62"/>
      <c r="U11" s="60">
        <f>+COUNTIF(Kumar!$C$5:$C$18,"=PF")</f>
        <v>1</v>
      </c>
      <c r="V11" s="61">
        <f>SUMIF(Kumar!$C$5:$C$18,"PF",Kumar!$F$5:$F$18)</f>
        <v>3</v>
      </c>
      <c r="X11" s="60">
        <f>+COUNTIF(Kumar!$C$5:$C$18,"=FC")</f>
        <v>4</v>
      </c>
      <c r="Y11" s="61">
        <f>SUMIF(Kumar!$C$5:$C$18,"FC",Kumar!$F$5:$F$18)</f>
        <v>64</v>
      </c>
      <c r="AA11" s="60">
        <f>+COUNTIF(Kumar!$C$5:$C$18,"=C")</f>
        <v>0</v>
      </c>
      <c r="AB11" s="61">
        <f>SUMIF(Kumar!$C$5:$C$18,"C",Kumar!$F$5:$F$18)</f>
        <v>0</v>
      </c>
      <c r="AD11" s="62"/>
      <c r="AE11" s="61">
        <f t="shared" si="0"/>
        <v>117</v>
      </c>
    </row>
    <row r="12" spans="1:31" s="56" customFormat="1" ht="15" customHeight="1">
      <c r="A12" s="59" t="s">
        <v>10</v>
      </c>
      <c r="C12" s="60">
        <f>+COUNTIF(Rittenhouse!$C$5:$C$18,"=PG")</f>
        <v>1</v>
      </c>
      <c r="D12" s="61">
        <f>SUMIF(Rittenhouse!$C$5:$C$18,"PG",Rittenhouse!$F$5:$F$18)</f>
        <v>6.75</v>
      </c>
      <c r="E12" s="62"/>
      <c r="F12" s="60">
        <f>+COUNTIF(Rittenhouse!$C$5:$C$18,"=G")</f>
        <v>4</v>
      </c>
      <c r="G12" s="61">
        <f>SUMIF(Rittenhouse!$C$5:$C$18,"G",Rittenhouse!$F$5:$F$18)</f>
        <v>17.4</v>
      </c>
      <c r="H12" s="62"/>
      <c r="I12" s="60">
        <f>+COUNTIF(Rittenhouse!$C$5:$C$18,"=SG")</f>
        <v>0</v>
      </c>
      <c r="J12" s="61">
        <f>SUMIF(Rittenhouse!$C$5:$C$18,"SG",Rittenhouse!$F$5:$F$18)</f>
        <v>0</v>
      </c>
      <c r="K12" s="62"/>
      <c r="L12" s="60">
        <f>+COUNTIF(Rittenhouse!$C$5:$C$18,"=GF")</f>
        <v>0</v>
      </c>
      <c r="M12" s="61">
        <f>SUMIF(Rittenhouse!$C$5:$C$18,"GF",Rittenhouse!$F$5:$F$18)</f>
        <v>0</v>
      </c>
      <c r="N12" s="62"/>
      <c r="O12" s="60">
        <f>+COUNTIF(Rittenhouse!$C$5:$C$18,"=SF")</f>
        <v>1</v>
      </c>
      <c r="P12" s="61">
        <f>SUMIF(Rittenhouse!$C$5:$C$18,"SF",Rittenhouse!$F$5:$F$18)</f>
        <v>4.8</v>
      </c>
      <c r="Q12" s="62"/>
      <c r="R12" s="60">
        <f>+COUNTIF(Rittenhouse!$C$5:$C$18,"=F")</f>
        <v>2</v>
      </c>
      <c r="S12" s="61">
        <f>SUMIF(Rittenhouse!$C$5:$C$18,"F",Rittenhouse!$F$5:$F$18)</f>
        <v>29.75</v>
      </c>
      <c r="T12" s="62"/>
      <c r="U12" s="60">
        <f>+COUNTIF(Rittenhouse!$C$5:$C$18,"=PF")</f>
        <v>2</v>
      </c>
      <c r="V12" s="61">
        <f>SUMIF(Rittenhouse!$C$5:$C$18,"PF",Rittenhouse!$F$5:$F$18)</f>
        <v>10.2</v>
      </c>
      <c r="X12" s="60">
        <f>+COUNTIF(Rittenhouse!$C$5:$C$18,"=FC")</f>
        <v>2</v>
      </c>
      <c r="Y12" s="61">
        <f>SUMIF(Rittenhouse!$C$5:$C$18,"FC",Rittenhouse!$F$5:$F$18)</f>
        <v>8.65</v>
      </c>
      <c r="AA12" s="60">
        <f>+COUNTIF(Rittenhouse!$C$5:$C$18,"=C")</f>
        <v>2</v>
      </c>
      <c r="AB12" s="61">
        <f>SUMIF(Rittenhouse!$C$5:$C$18,"C",Rittenhouse!$F$5:$F$18)</f>
        <v>10</v>
      </c>
      <c r="AD12" s="62"/>
      <c r="AE12" s="61">
        <f t="shared" si="0"/>
        <v>87.55000000000001</v>
      </c>
    </row>
    <row r="13" spans="1:31" s="56" customFormat="1" ht="15" customHeight="1">
      <c r="A13" s="59" t="s">
        <v>161</v>
      </c>
      <c r="C13" s="60">
        <f>+COUNTIF(Shepherd!$C$5:$C$18,"=PG")</f>
        <v>1</v>
      </c>
      <c r="D13" s="61">
        <f>SUMIF(Shepherd!$C$5:$C$18,"PG",Shepherd!$F$5:$F$18)</f>
        <v>7.7</v>
      </c>
      <c r="E13" s="62"/>
      <c r="F13" s="60">
        <f>+COUNTIF(Shepherd!$C$5:$C$18,"=G")</f>
        <v>2</v>
      </c>
      <c r="G13" s="61">
        <f>SUMIF(Shepherd!$C$5:$C$18,"G",Shepherd!$F$5:$F$18)</f>
        <v>13.85</v>
      </c>
      <c r="H13" s="62"/>
      <c r="I13" s="60">
        <f>+COUNTIF(Shepherd!$C$5:$C$18,"=SG")</f>
        <v>1</v>
      </c>
      <c r="J13" s="61">
        <f>SUMIF(Shepherd!$C$5:$C$18,"SG",Shepherd!$F$5:$F$18)</f>
        <v>3.2</v>
      </c>
      <c r="K13" s="62"/>
      <c r="L13" s="60">
        <f>+COUNTIF(Shepherd!$C$5:$C$18,"=GF")</f>
        <v>2</v>
      </c>
      <c r="M13" s="61">
        <f>SUMIF(Shepherd!$C$5:$C$18,"GF",Shepherd!$F$5:$F$18)</f>
        <v>23.25</v>
      </c>
      <c r="N13" s="62"/>
      <c r="O13" s="60">
        <f>+COUNTIF(Shepherd!$C$5:$C$18,"=SF")</f>
        <v>0</v>
      </c>
      <c r="P13" s="61">
        <f>SUMIF(Shepherd!$C$5:$C$18,"SF",Shepherd!$F$5:$F$18)</f>
        <v>0</v>
      </c>
      <c r="Q13" s="62"/>
      <c r="R13" s="60">
        <f>+COUNTIF(Shepherd!$C$5:$C$18,"=F")</f>
        <v>2</v>
      </c>
      <c r="S13" s="61">
        <f>SUMIF(Shepherd!$C$5:$C$18,"F",Shepherd!$F$5:$F$18)</f>
        <v>5.2</v>
      </c>
      <c r="T13" s="62"/>
      <c r="U13" s="60">
        <f>+COUNTIF(Shepherd!$C$5:$C$18,"=PF")</f>
        <v>1</v>
      </c>
      <c r="V13" s="61">
        <f>SUMIF(Shepherd!$C$5:$C$18,"PF",Shepherd!$F$5:$F$18)</f>
        <v>8.5</v>
      </c>
      <c r="X13" s="60">
        <f>+COUNTIF(Shepherd!$C$5:$C$18,"=FC")</f>
        <v>3</v>
      </c>
      <c r="Y13" s="61">
        <f>SUMIF(Shepherd!$C$5:$C$18,"FC",Shepherd!$F$5:$F$18)</f>
        <v>63.8</v>
      </c>
      <c r="AA13" s="60">
        <f>+COUNTIF(Shepherd!$C$5:$C$18,"=C")</f>
        <v>1</v>
      </c>
      <c r="AB13" s="61">
        <f>SUMIF(Shepherd!$C$5:$C$18,"C",Shepherd!$F$5:$F$18)</f>
        <v>3.4</v>
      </c>
      <c r="AD13" s="62"/>
      <c r="AE13" s="61">
        <f t="shared" si="0"/>
        <v>128.9</v>
      </c>
    </row>
    <row r="14" spans="1:31" s="56" customFormat="1" ht="15" customHeight="1">
      <c r="A14" s="59" t="s">
        <v>160</v>
      </c>
      <c r="C14" s="60">
        <f>+COUNTIF(Welch!$C$5:$C$18,"=PG")</f>
        <v>2</v>
      </c>
      <c r="D14" s="61">
        <f>SUMIF(Welch!$C$5:$C$18,"PG",Welch!$F$5:$F$18)</f>
        <v>47.6</v>
      </c>
      <c r="E14" s="62"/>
      <c r="F14" s="60">
        <f>+COUNTIF(Welch!$C$5:$C$18,"=G")</f>
        <v>0</v>
      </c>
      <c r="G14" s="61">
        <f>SUMIF(Welch!$C$5:$C$18,"G",Welch!$F$5:$F$18)</f>
        <v>0</v>
      </c>
      <c r="H14" s="62"/>
      <c r="I14" s="60">
        <f>+COUNTIF(Welch!$C$5:$C$18,"=SG")</f>
        <v>0</v>
      </c>
      <c r="J14" s="61">
        <f>SUMIF(Welch!$C$5:$C$18,"SG",Welch!$F$5:$F$18)</f>
        <v>0</v>
      </c>
      <c r="K14" s="62"/>
      <c r="L14" s="60">
        <f>+COUNTIF(Welch!$C$5:$C$18,"=GF")</f>
        <v>4</v>
      </c>
      <c r="M14" s="61">
        <f>SUMIF(Welch!$C$5:$C$18,"GF",Welch!$F$5:$F$18)</f>
        <v>62.349999999999994</v>
      </c>
      <c r="N14" s="62"/>
      <c r="O14" s="60">
        <f>+COUNTIF(Welch!$C$5:$C$18,"=SF")</f>
        <v>0</v>
      </c>
      <c r="P14" s="61">
        <f>SUMIF(Welch!$C$5:$C$18,"SF",Welch!$F$5:$F$18)</f>
        <v>0</v>
      </c>
      <c r="Q14" s="62"/>
      <c r="R14" s="60">
        <f>+COUNTIF(Welch!$C$5:$C$18,"=F")</f>
        <v>3</v>
      </c>
      <c r="S14" s="61">
        <f>SUMIF(Welch!$C$5:$C$18,"F",Welch!$F$5:$F$18)</f>
        <v>11.450000000000001</v>
      </c>
      <c r="T14" s="62"/>
      <c r="U14" s="60">
        <f>+COUNTIF(Welch!$C$5:$C$18,"=PF")</f>
        <v>1</v>
      </c>
      <c r="V14" s="61">
        <f>SUMIF(Welch!$C$5:$C$18,"PF",Welch!$F$5:$F$18)</f>
        <v>5.1</v>
      </c>
      <c r="X14" s="60">
        <f>+COUNTIF(Welch!$C$5:$C$18,"=FC")</f>
        <v>2</v>
      </c>
      <c r="Y14" s="61">
        <f>SUMIF(Welch!$C$5:$C$18,"FC",Welch!$F$5:$F$18)</f>
        <v>6.6</v>
      </c>
      <c r="AA14" s="60">
        <f>+COUNTIF(Welch!$C$5:$C$18,"=C")</f>
        <v>1</v>
      </c>
      <c r="AB14" s="61">
        <f>SUMIF(Welch!$C$5:$C$18,"C",Welch!$F$5:$F$18)</f>
        <v>22.6</v>
      </c>
      <c r="AD14" s="62"/>
      <c r="AE14" s="61">
        <f t="shared" si="0"/>
        <v>155.7</v>
      </c>
    </row>
    <row r="15" spans="1:31" s="56" customFormat="1" ht="15" customHeight="1">
      <c r="A15" s="59" t="s">
        <v>219</v>
      </c>
      <c r="C15" s="60">
        <f>+COUNTIF(Goter!$C$5:$C$18,"=PG")</f>
        <v>1</v>
      </c>
      <c r="D15" s="61">
        <f>SUMIF(Goter!$C$5:$C$18,"PG",Goter!$F$5:$F$18)</f>
        <v>3.4</v>
      </c>
      <c r="E15" s="62"/>
      <c r="F15" s="60">
        <f>+COUNTIF(Goter!$C$5:$C$18,"=G")</f>
        <v>2</v>
      </c>
      <c r="G15" s="61">
        <f>SUMIF(Goter!$C$5:$C$18,"G",Goter!$F$5:$F$18)</f>
        <v>8.9</v>
      </c>
      <c r="H15" s="62"/>
      <c r="I15" s="60">
        <f>+COUNTIF(Goter!$C$5:$C$18,"=SG")</f>
        <v>0</v>
      </c>
      <c r="J15" s="61">
        <f>SUMIF(Goter!$C$5:$C$18,"SG",Goter!$F$5:$F$18)</f>
        <v>0</v>
      </c>
      <c r="K15" s="62"/>
      <c r="L15" s="60">
        <f>+COUNTIF(Goter!$C$5:$C$18,"=GF")</f>
        <v>1</v>
      </c>
      <c r="M15" s="61">
        <f>SUMIF(Goter!$C$5:$C$18,"GF",Goter!$F$5:$F$18)</f>
        <v>9.25</v>
      </c>
      <c r="N15" s="62"/>
      <c r="O15" s="60">
        <f>+COUNTIF(Goter!$C$5:$C$18,"=SF")</f>
        <v>0</v>
      </c>
      <c r="P15" s="61">
        <f>SUMIF(Goter!$C$5:$C$18,"SF",Goter!$F$5:$F$18)</f>
        <v>0</v>
      </c>
      <c r="Q15" s="62"/>
      <c r="R15" s="60">
        <f>+COUNTIF(Goter!$C$5:$C$18,"=F")</f>
        <v>2</v>
      </c>
      <c r="S15" s="61">
        <f>SUMIF(Goter!$C$5:$C$18,"F",Goter!$F$5:$F$18)</f>
        <v>11.799999999999999</v>
      </c>
      <c r="T15" s="62"/>
      <c r="U15" s="60">
        <f>+COUNTIF(Goter!$C$5:$C$18,"=PF")</f>
        <v>2</v>
      </c>
      <c r="V15" s="61">
        <f>SUMIF(Goter!$C$5:$C$18,"PF",Goter!$F$5:$F$18)</f>
        <v>12.2</v>
      </c>
      <c r="X15" s="60">
        <f>+COUNTIF(Goter!$C$5:$C$18,"=FC")</f>
        <v>4</v>
      </c>
      <c r="Y15" s="61">
        <f>SUMIF(Goter!$C$5:$C$18,"FC",Goter!$F$5:$F$18)</f>
        <v>25.049999999999997</v>
      </c>
      <c r="AA15" s="60">
        <f>+COUNTIF(Goter!$C$5:$C$18,"=C")</f>
        <v>2</v>
      </c>
      <c r="AB15" s="61">
        <f>SUMIF(Goter!$C$5:$C$18,"C",Goter!$F$5:$F$18)</f>
        <v>25.5</v>
      </c>
      <c r="AD15" s="62"/>
      <c r="AE15" s="61">
        <f t="shared" si="0"/>
        <v>96.1</v>
      </c>
    </row>
    <row r="16" spans="1:31" s="56" customFormat="1" ht="15" customHeight="1">
      <c r="A16" s="59" t="s">
        <v>82</v>
      </c>
      <c r="C16" s="60">
        <f>+COUNTIF(Wilt!$C$5:$C$18,"=PG")</f>
        <v>2</v>
      </c>
      <c r="D16" s="61">
        <f>SUMIF(Wilt!$C$5:$C$18,"PG",Wilt!$F$5:$F$18)</f>
        <v>14.399999999999999</v>
      </c>
      <c r="E16" s="62"/>
      <c r="F16" s="60">
        <f>+COUNTIF(Wilt!$C$5:$C$18,"=G")</f>
        <v>0</v>
      </c>
      <c r="G16" s="61">
        <f>SUMIF(Wilt!$C$5:$C$18,"G",Wilt!$F$5:$F$18)</f>
        <v>0</v>
      </c>
      <c r="H16" s="62"/>
      <c r="I16" s="60">
        <f>+COUNTIF(Wilt!$C$5:$C$18,"=SG")</f>
        <v>2</v>
      </c>
      <c r="J16" s="61">
        <f>SUMIF(Wilt!$C$5:$C$18,"SG",Wilt!$F$5:$F$18)</f>
        <v>15.100000000000001</v>
      </c>
      <c r="K16" s="62"/>
      <c r="L16" s="60">
        <f>+COUNTIF(Wilt!$C$5:$C$18,"=GF")</f>
        <v>2</v>
      </c>
      <c r="M16" s="61">
        <f>SUMIF(Wilt!$C$5:$C$18,"GF",Wilt!$F$5:$F$18)</f>
        <v>27.299999999999997</v>
      </c>
      <c r="N16" s="62"/>
      <c r="O16" s="60">
        <f>+COUNTIF(Wilt!$C$5:$C$18,"=SF")</f>
        <v>1</v>
      </c>
      <c r="P16" s="61">
        <f>SUMIF(Wilt!$C$5:$C$18,"SF",Wilt!$F$5:$F$18)</f>
        <v>9.6</v>
      </c>
      <c r="Q16" s="62"/>
      <c r="R16" s="60">
        <f>+COUNTIF(Wilt!$C$5:$C$18,"=F")</f>
        <v>2</v>
      </c>
      <c r="S16" s="61">
        <f>SUMIF(Wilt!$C$5:$C$18,"F",Wilt!$F$5:$F$18)</f>
        <v>68.25</v>
      </c>
      <c r="T16" s="62"/>
      <c r="U16" s="60">
        <f>+COUNTIF(Wilt!$C$5:$C$18,"=PF")</f>
        <v>1</v>
      </c>
      <c r="V16" s="61">
        <f>SUMIF(Wilt!$C$5:$C$18,"PF",Wilt!$F$5:$F$18)</f>
        <v>3.4</v>
      </c>
      <c r="X16" s="60">
        <f>+COUNTIF(Wilt!$C$5:$C$18,"=FC")</f>
        <v>3</v>
      </c>
      <c r="Y16" s="61">
        <f>SUMIF(Wilt!$C$5:$C$18,"FC",Wilt!$F$5:$F$18)</f>
        <v>43.5</v>
      </c>
      <c r="AA16" s="60">
        <f>+COUNTIF(Wilt!$C$5:$C$18,"=C")</f>
        <v>1</v>
      </c>
      <c r="AB16" s="61">
        <f>SUMIF(Wilt!$C$5:$C$18,"C",Wilt!$F$5:$F$18)</f>
        <v>3.5</v>
      </c>
      <c r="AD16" s="62"/>
      <c r="AE16" s="61">
        <f t="shared" si="0"/>
        <v>185.05</v>
      </c>
    </row>
    <row r="17" spans="1:31" s="56" customFormat="1" ht="15" customHeight="1">
      <c r="A17" s="59" t="s">
        <v>15</v>
      </c>
      <c r="C17" s="60">
        <f>+COUNTIF(WoodfordB!$C$5:$C$18,"=PG")</f>
        <v>2</v>
      </c>
      <c r="D17" s="61">
        <f>SUMIF(WoodfordB!$C$5:$C$18,"PG",WoodfordB!$F$5:$F$18)</f>
        <v>38.25</v>
      </c>
      <c r="E17" s="62"/>
      <c r="F17" s="60">
        <f>+COUNTIF(WoodfordB!$C$5:$C$18,"=G")</f>
        <v>1</v>
      </c>
      <c r="G17" s="61">
        <f>SUMIF(WoodfordB!$C$5:$C$18,"G",WoodfordB!$F$5:$F$18)</f>
        <v>33.9</v>
      </c>
      <c r="H17" s="62"/>
      <c r="I17" s="60">
        <f>+COUNTIF(WoodfordB!$C$5:$C$18,"=SG")</f>
        <v>0</v>
      </c>
      <c r="J17" s="61">
        <f>SUMIF(WoodfordB!$C$5:$C$18,"SG",WoodfordB!$F$5:$F$18)</f>
        <v>0</v>
      </c>
      <c r="K17" s="62"/>
      <c r="L17" s="60">
        <f>+COUNTIF(WoodfordB!$C$5:$C$18,"=GF")</f>
        <v>2</v>
      </c>
      <c r="M17" s="61">
        <f>SUMIF(WoodfordB!$C$5:$C$18,"GF",WoodfordB!$F$5:$F$18)</f>
        <v>6.6</v>
      </c>
      <c r="N17" s="62"/>
      <c r="O17" s="60">
        <f>+COUNTIF(WoodfordB!$C$5:$C$18,"=SF")</f>
        <v>2</v>
      </c>
      <c r="P17" s="61">
        <f>SUMIF(WoodfordB!$C$5:$C$18,"SF",WoodfordB!$F$5:$F$18)</f>
        <v>6.2</v>
      </c>
      <c r="Q17" s="62"/>
      <c r="R17" s="60">
        <f>+COUNTIF(WoodfordB!$C$5:$C$18,"=F")</f>
        <v>0</v>
      </c>
      <c r="S17" s="61">
        <f>SUMIF(WoodfordB!$C$5:$C$18,"F",WoodfordB!$F$5:$F$18)</f>
        <v>0</v>
      </c>
      <c r="T17" s="62"/>
      <c r="U17" s="60">
        <f>+COUNTIF(WoodfordB!$C$5:$C$18,"=PF")</f>
        <v>2</v>
      </c>
      <c r="V17" s="61">
        <f>SUMIF(WoodfordB!$C$5:$C$18,"PF",WoodfordB!$F$5:$F$18)</f>
        <v>7.65</v>
      </c>
      <c r="X17" s="60">
        <f>+COUNTIF(WoodfordB!$C$5:$C$18,"=FC")</f>
        <v>2</v>
      </c>
      <c r="Y17" s="61">
        <f>SUMIF(WoodfordB!$C$5:$C$18,"FC",WoodfordB!$F$5:$F$18)</f>
        <v>67.25</v>
      </c>
      <c r="AA17" s="60">
        <f>+COUNTIF(WoodfordB!$C$5:$C$18,"=C")</f>
        <v>3</v>
      </c>
      <c r="AB17" s="61">
        <f>SUMIF(WoodfordB!$C$5:$C$18,"C",WoodfordB!$F$5:$F$18)</f>
        <v>14.4</v>
      </c>
      <c r="AD17" s="62"/>
      <c r="AE17" s="61">
        <f t="shared" si="0"/>
        <v>174.25</v>
      </c>
    </row>
    <row r="18" spans="1:31" s="56" customFormat="1" ht="15" customHeight="1">
      <c r="A18" s="59" t="s">
        <v>13</v>
      </c>
      <c r="C18" s="60">
        <f>+COUNTIF(WoodfordW!$C$5:$C$18,"=PG")</f>
        <v>4</v>
      </c>
      <c r="D18" s="61">
        <f>SUMIF(WoodfordW!$C$5:$C$18,"PG",WoodfordW!$F$5:$F$18)</f>
        <v>44.05</v>
      </c>
      <c r="E18" s="62"/>
      <c r="F18" s="60">
        <f>+COUNTIF(WoodfordW!$C$5:$C$18,"=G")</f>
        <v>2</v>
      </c>
      <c r="G18" s="61">
        <f>SUMIF(WoodfordW!$C$5:$C$18,"G",WoodfordW!$F$5:$F$18)</f>
        <v>36.55</v>
      </c>
      <c r="H18" s="62"/>
      <c r="I18" s="60">
        <f>+COUNTIF(WoodfordW!$C$5:$C$18,"=SG")</f>
        <v>0</v>
      </c>
      <c r="J18" s="61">
        <f>SUMIF(WoodfordW!$C$5:$C$18,"SG",WoodfordW!$F$5:$F$18)</f>
        <v>0</v>
      </c>
      <c r="K18" s="62"/>
      <c r="L18" s="60">
        <f>+COUNTIF(WoodfordW!$C$5:$C$18,"=GF")</f>
        <v>1</v>
      </c>
      <c r="M18" s="61">
        <f>SUMIF(WoodfordW!$C$5:$C$18,"GF",WoodfordW!$F$5:$F$18)</f>
        <v>23.7</v>
      </c>
      <c r="N18" s="62"/>
      <c r="O18" s="60">
        <f>+COUNTIF(WoodfordW!$C$5:$C$18,"=SF")</f>
        <v>1</v>
      </c>
      <c r="P18" s="61">
        <f>SUMIF(WoodfordW!$C$5:$C$18,"SF",WoodfordW!$F$5:$F$18)</f>
        <v>10.8</v>
      </c>
      <c r="Q18" s="62"/>
      <c r="R18" s="60">
        <f>+COUNTIF(WoodfordW!$C$5:$C$18,"=F")</f>
        <v>0</v>
      </c>
      <c r="S18" s="61">
        <f>SUMIF(WoodfordW!$C$5:$C$18,"F",WoodfordW!$F$5:$F$18)</f>
        <v>0</v>
      </c>
      <c r="T18" s="62"/>
      <c r="U18" s="60">
        <f>+COUNTIF(WoodfordW!$C$5:$C$18,"=PF")</f>
        <v>0</v>
      </c>
      <c r="V18" s="61">
        <f>SUMIF(WoodfordW!$C$5:$C$18,"PF",WoodfordW!$F$5:$F$18)</f>
        <v>0</v>
      </c>
      <c r="X18" s="60">
        <f>+COUNTIF(WoodfordW!$C$5:$C$18,"=FC")</f>
        <v>4</v>
      </c>
      <c r="Y18" s="61">
        <f>SUMIF(WoodfordW!$C$5:$C$18,"FC",WoodfordW!$F$5:$F$18)</f>
        <v>66.75</v>
      </c>
      <c r="AA18" s="60">
        <f>+COUNTIF(WoodfordW!$C$5:$C$18,"=C")</f>
        <v>2</v>
      </c>
      <c r="AB18" s="61">
        <f>SUMIF(WoodfordW!$C$5:$C$18,"C",WoodfordW!$F$5:$F$18)</f>
        <v>17.6</v>
      </c>
      <c r="AD18" s="62"/>
      <c r="AE18" s="61">
        <f t="shared" si="0"/>
        <v>199.44999999999996</v>
      </c>
    </row>
    <row r="19" ht="12.75">
      <c r="R19" s="63"/>
    </row>
    <row r="20" spans="1:32" ht="15">
      <c r="A20" s="64" t="s">
        <v>185</v>
      </c>
      <c r="D20" s="65">
        <f>+SUM(C5:C18)</f>
        <v>29</v>
      </c>
      <c r="G20" s="65">
        <f>+SUM(F5:F18)</f>
        <v>24</v>
      </c>
      <c r="J20" s="65">
        <f>+SUM(I5:I18)</f>
        <v>11</v>
      </c>
      <c r="M20" s="65">
        <f>+SUM(L5:L18)</f>
        <v>23</v>
      </c>
      <c r="P20" s="65">
        <f>+SUM(O5:O18)</f>
        <v>14</v>
      </c>
      <c r="S20" s="65">
        <f>+SUM(R5:R18)</f>
        <v>20</v>
      </c>
      <c r="V20" s="65">
        <f>+SUM(U5:U18)</f>
        <v>15</v>
      </c>
      <c r="Y20" s="65">
        <f>+SUM(X5:X18)</f>
        <v>35</v>
      </c>
      <c r="AB20" s="65">
        <f>+SUM(AA5:AA18)</f>
        <v>23</v>
      </c>
      <c r="AE20" s="65">
        <f>SUM(D20:AC20)</f>
        <v>194</v>
      </c>
      <c r="AF20" s="65">
        <f>(14*14)-AE20</f>
        <v>2</v>
      </c>
    </row>
    <row r="21" spans="1:31" ht="15">
      <c r="A21" s="64" t="s">
        <v>186</v>
      </c>
      <c r="D21" s="66">
        <f>+SUM(D5:D18)/D20</f>
        <v>11.46896551724138</v>
      </c>
      <c r="G21" s="66">
        <f>+SUM(G5:G18)/G20</f>
        <v>10.977083333333333</v>
      </c>
      <c r="J21" s="66">
        <f>+SUM(J5:J18)/J20</f>
        <v>5.490909090909091</v>
      </c>
      <c r="M21" s="66">
        <f>+SUM(M5:M18)/M20</f>
        <v>13.034782608695652</v>
      </c>
      <c r="P21" s="66">
        <f>+SUM(P5:P18)/P20</f>
        <v>5.603571428571428</v>
      </c>
      <c r="S21" s="66">
        <f>+SUM(S5:S18)/S20</f>
        <v>13.655000000000001</v>
      </c>
      <c r="V21" s="66">
        <f>+SUM(V5:V18)/V20</f>
        <v>5.953333333333334</v>
      </c>
      <c r="Y21" s="66">
        <f>+SUM(Y5:Y18)/Y20</f>
        <v>13.104285714285716</v>
      </c>
      <c r="AB21" s="66">
        <f>+SUM(AB5:AB18)/AB20</f>
        <v>9.858695652173912</v>
      </c>
      <c r="AE21" s="66">
        <f>+AVERAGE(AE5:AE18)</f>
        <v>148.75</v>
      </c>
    </row>
    <row r="22" spans="1:28" ht="15">
      <c r="A22" s="64" t="s">
        <v>188</v>
      </c>
      <c r="D22" s="65">
        <f>+D20+G20</f>
        <v>53</v>
      </c>
      <c r="G22" s="65">
        <f>+D20+G20+J20+M20</f>
        <v>87</v>
      </c>
      <c r="J22" s="65">
        <f>+G20+M20+J20</f>
        <v>58</v>
      </c>
      <c r="M22" s="67" t="s">
        <v>189</v>
      </c>
      <c r="P22" s="65">
        <f>+M20+P20+S20</f>
        <v>57</v>
      </c>
      <c r="S22" s="65">
        <f>+M20+P20+S20+V20+Y20</f>
        <v>107</v>
      </c>
      <c r="V22" s="65">
        <f>+S20+V20+Y20</f>
        <v>70</v>
      </c>
      <c r="Y22" s="67" t="s">
        <v>189</v>
      </c>
      <c r="AB22" s="65">
        <f>+AB20+Y20</f>
        <v>58</v>
      </c>
    </row>
  </sheetData>
  <sheetProtection/>
  <mergeCells count="9">
    <mergeCell ref="AA3:AB3"/>
    <mergeCell ref="X3:Y3"/>
    <mergeCell ref="C3:D3"/>
    <mergeCell ref="F3:G3"/>
    <mergeCell ref="I3:J3"/>
    <mergeCell ref="O3:P3"/>
    <mergeCell ref="R3:S3"/>
    <mergeCell ref="U3:V3"/>
    <mergeCell ref="L3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38</v>
      </c>
      <c r="C3" s="19" t="s">
        <v>39</v>
      </c>
      <c r="D3" s="19" t="s">
        <v>1</v>
      </c>
      <c r="E3" s="19" t="s">
        <v>40</v>
      </c>
      <c r="F3" s="19" t="s">
        <v>9</v>
      </c>
      <c r="G3" s="19" t="s">
        <v>41</v>
      </c>
      <c r="I3" s="20">
        <v>2016</v>
      </c>
      <c r="J3" s="20">
        <v>2017</v>
      </c>
      <c r="K3" s="20">
        <v>2018</v>
      </c>
      <c r="L3" s="20">
        <v>2019</v>
      </c>
      <c r="M3" s="20">
        <v>2020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313</v>
      </c>
      <c r="C5" s="17" t="s">
        <v>55</v>
      </c>
      <c r="D5" s="17" t="s">
        <v>81</v>
      </c>
      <c r="E5" s="23" t="s">
        <v>297</v>
      </c>
      <c r="F5" s="24">
        <v>46.1</v>
      </c>
      <c r="G5" s="25">
        <v>2020</v>
      </c>
      <c r="I5" s="26">
        <f aca="true" t="shared" si="0" ref="I5:M18">+IF($G5&gt;=I$3,$F5,0)</f>
        <v>46.1</v>
      </c>
      <c r="J5" s="26">
        <f t="shared" si="0"/>
        <v>46.1</v>
      </c>
      <c r="K5" s="26">
        <f t="shared" si="0"/>
        <v>46.1</v>
      </c>
      <c r="L5" s="26">
        <f t="shared" si="0"/>
        <v>46.1</v>
      </c>
      <c r="M5" s="26">
        <f t="shared" si="0"/>
        <v>46.1</v>
      </c>
    </row>
    <row r="6" spans="1:13" ht="12.75">
      <c r="A6" s="21">
        <v>2</v>
      </c>
      <c r="B6" s="32" t="s">
        <v>331</v>
      </c>
      <c r="C6" s="44" t="s">
        <v>42</v>
      </c>
      <c r="D6" s="44" t="s">
        <v>80</v>
      </c>
      <c r="E6" s="43" t="s">
        <v>297</v>
      </c>
      <c r="F6" s="24">
        <v>20.2</v>
      </c>
      <c r="G6" s="25">
        <v>2020</v>
      </c>
      <c r="I6" s="26">
        <f t="shared" si="0"/>
        <v>20.2</v>
      </c>
      <c r="J6" s="26">
        <f t="shared" si="0"/>
        <v>20.2</v>
      </c>
      <c r="K6" s="26">
        <f t="shared" si="0"/>
        <v>20.2</v>
      </c>
      <c r="L6" s="26">
        <f t="shared" si="0"/>
        <v>20.2</v>
      </c>
      <c r="M6" s="26">
        <f t="shared" si="0"/>
        <v>20.2</v>
      </c>
    </row>
    <row r="7" spans="1:13" ht="12.75">
      <c r="A7" s="21">
        <v>3</v>
      </c>
      <c r="B7" s="32" t="s">
        <v>277</v>
      </c>
      <c r="C7" s="44" t="s">
        <v>53</v>
      </c>
      <c r="D7" s="44" t="s">
        <v>71</v>
      </c>
      <c r="E7" s="43" t="s">
        <v>271</v>
      </c>
      <c r="F7" s="24">
        <v>7.65</v>
      </c>
      <c r="G7" s="30">
        <v>2020</v>
      </c>
      <c r="I7" s="26">
        <f t="shared" si="0"/>
        <v>7.65</v>
      </c>
      <c r="J7" s="26">
        <f t="shared" si="0"/>
        <v>7.65</v>
      </c>
      <c r="K7" s="26">
        <f t="shared" si="0"/>
        <v>7.65</v>
      </c>
      <c r="L7" s="26">
        <f t="shared" si="0"/>
        <v>7.65</v>
      </c>
      <c r="M7" s="26">
        <f t="shared" si="0"/>
        <v>7.65</v>
      </c>
    </row>
    <row r="8" spans="1:13" ht="12.75">
      <c r="A8" s="21">
        <v>4</v>
      </c>
      <c r="B8" s="32" t="s">
        <v>291</v>
      </c>
      <c r="C8" s="44" t="s">
        <v>53</v>
      </c>
      <c r="D8" s="44" t="s">
        <v>43</v>
      </c>
      <c r="E8" s="23" t="s">
        <v>271</v>
      </c>
      <c r="F8" s="24">
        <v>3.4</v>
      </c>
      <c r="G8" s="25">
        <v>2020</v>
      </c>
      <c r="I8" s="26">
        <f t="shared" si="0"/>
        <v>3.4</v>
      </c>
      <c r="J8" s="26">
        <f t="shared" si="0"/>
        <v>3.4</v>
      </c>
      <c r="K8" s="26">
        <f t="shared" si="0"/>
        <v>3.4</v>
      </c>
      <c r="L8" s="26">
        <f t="shared" si="0"/>
        <v>3.4</v>
      </c>
      <c r="M8" s="26">
        <f t="shared" si="0"/>
        <v>3.4</v>
      </c>
    </row>
    <row r="9" spans="1:13" ht="12.75">
      <c r="A9" s="21">
        <v>5</v>
      </c>
      <c r="B9" s="32" t="s">
        <v>254</v>
      </c>
      <c r="C9" s="17" t="s">
        <v>50</v>
      </c>
      <c r="D9" s="17" t="s">
        <v>83</v>
      </c>
      <c r="E9" s="23" t="s">
        <v>221</v>
      </c>
      <c r="F9" s="24">
        <v>3.2</v>
      </c>
      <c r="G9" s="25">
        <v>2019</v>
      </c>
      <c r="I9" s="26">
        <f t="shared" si="0"/>
        <v>3.2</v>
      </c>
      <c r="J9" s="26">
        <f t="shared" si="0"/>
        <v>3.2</v>
      </c>
      <c r="K9" s="26">
        <f t="shared" si="0"/>
        <v>3.2</v>
      </c>
      <c r="L9" s="26">
        <f t="shared" si="0"/>
        <v>3.2</v>
      </c>
      <c r="M9" s="26">
        <f t="shared" si="0"/>
        <v>0</v>
      </c>
    </row>
    <row r="10" spans="1:13" ht="12.75">
      <c r="A10" s="21">
        <v>6</v>
      </c>
      <c r="B10" s="32" t="s">
        <v>256</v>
      </c>
      <c r="C10" s="44" t="s">
        <v>50</v>
      </c>
      <c r="D10" s="17" t="s">
        <v>73</v>
      </c>
      <c r="E10" s="23" t="s">
        <v>242</v>
      </c>
      <c r="F10" s="24">
        <v>3.2</v>
      </c>
      <c r="G10" s="25">
        <v>2019</v>
      </c>
      <c r="I10" s="26">
        <f t="shared" si="0"/>
        <v>3.2</v>
      </c>
      <c r="J10" s="26">
        <f t="shared" si="0"/>
        <v>3.2</v>
      </c>
      <c r="K10" s="26">
        <f t="shared" si="0"/>
        <v>3.2</v>
      </c>
      <c r="L10" s="26">
        <f t="shared" si="0"/>
        <v>3.2</v>
      </c>
      <c r="M10" s="26">
        <f t="shared" si="0"/>
        <v>0</v>
      </c>
    </row>
    <row r="11" spans="1:13" ht="12.75">
      <c r="A11" s="21">
        <v>7</v>
      </c>
      <c r="B11" s="32" t="s">
        <v>314</v>
      </c>
      <c r="C11" s="44" t="s">
        <v>61</v>
      </c>
      <c r="D11" s="44" t="s">
        <v>70</v>
      </c>
      <c r="E11" s="23" t="s">
        <v>297</v>
      </c>
      <c r="F11" s="24">
        <v>18.75</v>
      </c>
      <c r="G11" s="25">
        <v>2018</v>
      </c>
      <c r="I11" s="26">
        <f t="shared" si="0"/>
        <v>18.75</v>
      </c>
      <c r="J11" s="26">
        <f t="shared" si="0"/>
        <v>18.75</v>
      </c>
      <c r="K11" s="26">
        <f t="shared" si="0"/>
        <v>18.75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315</v>
      </c>
      <c r="C12" s="44" t="s">
        <v>66</v>
      </c>
      <c r="D12" s="44" t="s">
        <v>49</v>
      </c>
      <c r="E12" s="43" t="s">
        <v>297</v>
      </c>
      <c r="F12" s="24">
        <v>18.1</v>
      </c>
      <c r="G12" s="30">
        <v>2018</v>
      </c>
      <c r="I12" s="26">
        <f t="shared" si="0"/>
        <v>18.1</v>
      </c>
      <c r="J12" s="26">
        <f t="shared" si="0"/>
        <v>18.1</v>
      </c>
      <c r="K12" s="26">
        <f t="shared" si="0"/>
        <v>18.1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183</v>
      </c>
      <c r="C13" s="44" t="s">
        <v>50</v>
      </c>
      <c r="D13" s="44" t="s">
        <v>47</v>
      </c>
      <c r="E13" s="43" t="s">
        <v>163</v>
      </c>
      <c r="F13" s="24">
        <v>8</v>
      </c>
      <c r="G13" s="30">
        <v>2018</v>
      </c>
      <c r="I13" s="26">
        <f t="shared" si="0"/>
        <v>8</v>
      </c>
      <c r="J13" s="26">
        <f t="shared" si="0"/>
        <v>8</v>
      </c>
      <c r="K13" s="26">
        <f t="shared" si="0"/>
        <v>8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216</v>
      </c>
      <c r="C14" s="17" t="s">
        <v>57</v>
      </c>
      <c r="D14" s="17" t="s">
        <v>143</v>
      </c>
      <c r="E14" s="23" t="s">
        <v>168</v>
      </c>
      <c r="F14" s="24">
        <v>3</v>
      </c>
      <c r="G14" s="25">
        <v>2018</v>
      </c>
      <c r="I14" s="26">
        <f t="shared" si="0"/>
        <v>3</v>
      </c>
      <c r="J14" s="26">
        <f t="shared" si="0"/>
        <v>3</v>
      </c>
      <c r="K14" s="26">
        <f t="shared" si="0"/>
        <v>3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124</v>
      </c>
      <c r="C15" s="17" t="s">
        <v>61</v>
      </c>
      <c r="D15" s="17" t="s">
        <v>52</v>
      </c>
      <c r="E15" s="23" t="s">
        <v>44</v>
      </c>
      <c r="F15" s="24">
        <v>3.6</v>
      </c>
      <c r="G15" s="25">
        <v>2017</v>
      </c>
      <c r="I15" s="26">
        <f t="shared" si="0"/>
        <v>3.6</v>
      </c>
      <c r="J15" s="26">
        <f t="shared" si="0"/>
        <v>3.6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132</v>
      </c>
      <c r="C16" s="44" t="s">
        <v>66</v>
      </c>
      <c r="D16" s="44" t="s">
        <v>52</v>
      </c>
      <c r="E16" s="23" t="s">
        <v>44</v>
      </c>
      <c r="F16" s="24">
        <v>36.1</v>
      </c>
      <c r="G16" s="25">
        <v>2016</v>
      </c>
      <c r="I16" s="26">
        <f t="shared" si="0"/>
        <v>36.1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337</v>
      </c>
      <c r="C17" s="17" t="s">
        <v>50</v>
      </c>
      <c r="D17" s="17" t="s">
        <v>73</v>
      </c>
      <c r="E17" s="23" t="s">
        <v>336</v>
      </c>
      <c r="F17" s="24">
        <v>3.4</v>
      </c>
      <c r="G17" s="25">
        <v>2016</v>
      </c>
      <c r="I17" s="26">
        <f t="shared" si="0"/>
        <v>3.4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108</v>
      </c>
      <c r="C18" s="17" t="s">
        <v>42</v>
      </c>
      <c r="D18" s="44" t="s">
        <v>64</v>
      </c>
      <c r="E18" s="43" t="s">
        <v>200</v>
      </c>
      <c r="F18" s="24">
        <v>2.6</v>
      </c>
      <c r="G18" s="25">
        <v>2016</v>
      </c>
      <c r="I18" s="26">
        <f t="shared" si="0"/>
        <v>2.6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32"/>
      <c r="D20" s="17"/>
      <c r="E20" s="23"/>
      <c r="F20" s="24"/>
      <c r="G20" s="25"/>
      <c r="I20" s="28">
        <f>+SUM(I5:I18)</f>
        <v>177.3</v>
      </c>
      <c r="J20" s="28">
        <f>+SUM(J5:J18)</f>
        <v>135.20000000000002</v>
      </c>
      <c r="K20" s="28">
        <f>+SUM(K5:K18)</f>
        <v>131.60000000000002</v>
      </c>
      <c r="L20" s="28">
        <f>+SUM(L5:L18)</f>
        <v>83.75000000000001</v>
      </c>
      <c r="M20" s="28">
        <f>+SUM(M5:M18)</f>
        <v>77.35000000000001</v>
      </c>
    </row>
    <row r="22" spans="1:13" ht="15.75">
      <c r="A22" s="103" t="s">
        <v>59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38</v>
      </c>
      <c r="C24" s="19" t="s">
        <v>39</v>
      </c>
      <c r="D24" s="19" t="s">
        <v>1</v>
      </c>
      <c r="E24" s="19" t="s">
        <v>60</v>
      </c>
      <c r="F24" s="19" t="s">
        <v>9</v>
      </c>
      <c r="G24" s="19" t="s">
        <v>41</v>
      </c>
      <c r="I24" s="20">
        <f>+I$3</f>
        <v>2016</v>
      </c>
      <c r="J24" s="20">
        <f>+J$3</f>
        <v>2017</v>
      </c>
      <c r="K24" s="20">
        <f>+K$3</f>
        <v>2018</v>
      </c>
      <c r="L24" s="20">
        <f>+L$3</f>
        <v>2019</v>
      </c>
      <c r="M24" s="20">
        <f>+M$3</f>
        <v>2020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235</v>
      </c>
      <c r="C26" s="17" t="s">
        <v>57</v>
      </c>
      <c r="D26" s="17" t="s">
        <v>80</v>
      </c>
      <c r="E26" s="23">
        <v>2016</v>
      </c>
      <c r="F26" s="24">
        <v>6.4</v>
      </c>
      <c r="G26" s="25">
        <v>2019</v>
      </c>
      <c r="I26" s="26">
        <f aca="true" t="shared" si="1" ref="I26:I33">+CEILING(IF($I$24=E26,F26,IF($I$24&lt;=G26,F26*0.3,0)),0.05)</f>
        <v>6.4</v>
      </c>
      <c r="J26" s="26">
        <f aca="true" t="shared" si="2" ref="J26:J33">+CEILING(IF($J$24&lt;=G26,F26*0.3,0),0.05)</f>
        <v>1.9500000000000002</v>
      </c>
      <c r="K26" s="26">
        <f aca="true" t="shared" si="3" ref="K26:K33">+CEILING(IF($K$24&lt;=G26,F26*0.3,0),0.05)</f>
        <v>1.9500000000000002</v>
      </c>
      <c r="L26" s="26">
        <f aca="true" t="shared" si="4" ref="L26:L33">+CEILING(IF($L$24&lt;=G26,F26*0.3,0),0.05)</f>
        <v>1.9500000000000002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32" t="s">
        <v>215</v>
      </c>
      <c r="C27" s="44" t="s">
        <v>57</v>
      </c>
      <c r="D27" s="44" t="s">
        <v>71</v>
      </c>
      <c r="E27" s="43">
        <v>2015</v>
      </c>
      <c r="F27" s="24">
        <v>3</v>
      </c>
      <c r="G27" s="30">
        <v>2018</v>
      </c>
      <c r="I27" s="26">
        <f t="shared" si="1"/>
        <v>0.9</v>
      </c>
      <c r="J27" s="26">
        <f t="shared" si="2"/>
        <v>0.9</v>
      </c>
      <c r="K27" s="26">
        <f t="shared" si="3"/>
        <v>0.9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42"/>
      <c r="C28" s="44"/>
      <c r="D28" s="44"/>
      <c r="E28" s="23"/>
      <c r="F28" s="24"/>
      <c r="G28" s="25"/>
      <c r="I28" s="26">
        <f t="shared" si="1"/>
        <v>0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32"/>
      <c r="C29" s="44"/>
      <c r="D29" s="44"/>
      <c r="E29" s="43"/>
      <c r="F29" s="24"/>
      <c r="G29" s="30"/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32"/>
      <c r="C30" s="44"/>
      <c r="D30" s="44"/>
      <c r="E30" s="4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32"/>
      <c r="C31" s="44"/>
      <c r="D31" s="44"/>
      <c r="E31" s="43"/>
      <c r="F31" s="24"/>
      <c r="G31" s="30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3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32"/>
      <c r="C33" s="44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32"/>
      <c r="D34" s="17"/>
      <c r="E34" s="23"/>
      <c r="F34" s="24"/>
      <c r="G34" s="25"/>
      <c r="I34" s="26">
        <f>+CEILING(IF($I$24=E34,F34,IF($I$24&lt;=G34,F34*0.3,0)),0.05)</f>
        <v>0</v>
      </c>
      <c r="J34" s="26">
        <f>+CEILING(IF($J$24&lt;=G34,F34*0.3,0),0.05)</f>
        <v>0</v>
      </c>
      <c r="K34" s="26">
        <f>+CEILING(IF($K$24&lt;=G34,F34*0.3,0),0.05)</f>
        <v>0</v>
      </c>
      <c r="L34" s="26">
        <f>+CEILING(IF($L$24&lt;=G34,F34*0.3,0),0.05)</f>
        <v>0</v>
      </c>
      <c r="M34" s="26">
        <f>CEILING(IF($M$24&lt;=G34,F34*0.3,0),0.05)</f>
        <v>0</v>
      </c>
    </row>
    <row r="35" spans="1:13" ht="12.75">
      <c r="A35" s="21">
        <v>10</v>
      </c>
      <c r="B35" s="32"/>
      <c r="C35" s="44"/>
      <c r="D35" s="17"/>
      <c r="E35" s="23"/>
      <c r="F35" s="24"/>
      <c r="G35" s="25"/>
      <c r="I35" s="26">
        <f>+CEILING(IF($I$24=E35,F35,IF($I$24&lt;=G35,F35*0.3,0)),0.05)</f>
        <v>0</v>
      </c>
      <c r="J35" s="26">
        <f>+CEILING(IF($J$24&lt;=G35,F35*0.3,0),0.05)</f>
        <v>0</v>
      </c>
      <c r="K35" s="26">
        <f>+CEILING(IF($K$24&lt;=G35,F35*0.3,0),0.05)</f>
        <v>0</v>
      </c>
      <c r="L35" s="26">
        <f>+CEILING(IF($L$24&lt;=G35,F35*0.3,0),0.05)</f>
        <v>0</v>
      </c>
      <c r="M35" s="26">
        <f>CEILING(IF($M$24&lt;=G35,F35*0.3,0),0.05)</f>
        <v>0</v>
      </c>
    </row>
    <row r="36" spans="9:13" ht="7.5" customHeight="1">
      <c r="I36" s="22"/>
      <c r="J36" s="22"/>
      <c r="K36" s="22"/>
      <c r="L36" s="22"/>
      <c r="M36" s="22"/>
    </row>
    <row r="37" spans="9:13" ht="12.75">
      <c r="I37" s="28">
        <f>+SUM(I26:I36)</f>
        <v>7.300000000000001</v>
      </c>
      <c r="J37" s="28">
        <f>+SUM(J26:J36)</f>
        <v>2.85</v>
      </c>
      <c r="K37" s="28">
        <f>+SUM(K26:K36)</f>
        <v>2.85</v>
      </c>
      <c r="L37" s="28">
        <f>+SUM(L26:L36)</f>
        <v>1.9500000000000002</v>
      </c>
      <c r="M37" s="28">
        <f>+SUM(M26:M36)</f>
        <v>0</v>
      </c>
    </row>
    <row r="38" spans="9:13" ht="12.75">
      <c r="I38" s="29"/>
      <c r="J38" s="29"/>
      <c r="K38" s="29"/>
      <c r="L38" s="29"/>
      <c r="M38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Light,Bold"&amp;14Joel Griswold&amp;R&amp;"Copperplate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38</v>
      </c>
      <c r="C3" s="19" t="s">
        <v>39</v>
      </c>
      <c r="D3" s="19" t="s">
        <v>1</v>
      </c>
      <c r="E3" s="19" t="s">
        <v>40</v>
      </c>
      <c r="F3" s="19" t="s">
        <v>9</v>
      </c>
      <c r="G3" s="19" t="s">
        <v>41</v>
      </c>
      <c r="I3" s="20">
        <v>2016</v>
      </c>
      <c r="J3" s="20">
        <v>2017</v>
      </c>
      <c r="K3" s="20">
        <v>2018</v>
      </c>
      <c r="L3" s="20">
        <v>2019</v>
      </c>
      <c r="M3" s="20">
        <v>2020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1" t="s">
        <v>275</v>
      </c>
      <c r="C5" s="44" t="s">
        <v>48</v>
      </c>
      <c r="D5" s="44" t="s">
        <v>76</v>
      </c>
      <c r="E5" s="23" t="s">
        <v>271</v>
      </c>
      <c r="F5" s="24">
        <v>9.35</v>
      </c>
      <c r="G5" s="25">
        <v>2020</v>
      </c>
      <c r="I5" s="26">
        <f aca="true" t="shared" si="0" ref="I5:M18">+IF($G5&gt;=I$3,$F5,0)</f>
        <v>9.35</v>
      </c>
      <c r="J5" s="26">
        <f t="shared" si="0"/>
        <v>9.35</v>
      </c>
      <c r="K5" s="26">
        <f t="shared" si="0"/>
        <v>9.35</v>
      </c>
      <c r="L5" s="26">
        <f t="shared" si="0"/>
        <v>9.35</v>
      </c>
      <c r="M5" s="26">
        <f t="shared" si="0"/>
        <v>9.35</v>
      </c>
    </row>
    <row r="6" spans="1:13" ht="12.75">
      <c r="A6" s="21">
        <v>2</v>
      </c>
      <c r="B6" s="32" t="s">
        <v>289</v>
      </c>
      <c r="C6" s="17" t="s">
        <v>57</v>
      </c>
      <c r="D6" s="44" t="s">
        <v>83</v>
      </c>
      <c r="E6" s="23" t="s">
        <v>271</v>
      </c>
      <c r="F6" s="24">
        <v>3.4</v>
      </c>
      <c r="G6" s="25">
        <v>2020</v>
      </c>
      <c r="I6" s="26">
        <f t="shared" si="0"/>
        <v>3.4</v>
      </c>
      <c r="J6" s="26">
        <f t="shared" si="0"/>
        <v>3.4</v>
      </c>
      <c r="K6" s="26">
        <f t="shared" si="0"/>
        <v>3.4</v>
      </c>
      <c r="L6" s="26">
        <f t="shared" si="0"/>
        <v>3.4</v>
      </c>
      <c r="M6" s="26">
        <f t="shared" si="0"/>
        <v>3.4</v>
      </c>
    </row>
    <row r="7" spans="1:13" ht="12.75">
      <c r="A7" s="21">
        <v>3</v>
      </c>
      <c r="B7" s="32" t="s">
        <v>237</v>
      </c>
      <c r="C7" s="17" t="s">
        <v>61</v>
      </c>
      <c r="D7" s="17" t="s">
        <v>58</v>
      </c>
      <c r="E7" s="23" t="s">
        <v>221</v>
      </c>
      <c r="F7" s="24">
        <v>4</v>
      </c>
      <c r="G7" s="25">
        <v>2019</v>
      </c>
      <c r="I7" s="26">
        <f t="shared" si="0"/>
        <v>4</v>
      </c>
      <c r="J7" s="26">
        <f t="shared" si="0"/>
        <v>4</v>
      </c>
      <c r="K7" s="26">
        <f t="shared" si="0"/>
        <v>4</v>
      </c>
      <c r="L7" s="26">
        <f t="shared" si="0"/>
        <v>4</v>
      </c>
      <c r="M7" s="26">
        <f t="shared" si="0"/>
        <v>0</v>
      </c>
    </row>
    <row r="8" spans="1:13" ht="12.75">
      <c r="A8" s="21">
        <v>4</v>
      </c>
      <c r="B8" s="32" t="s">
        <v>310</v>
      </c>
      <c r="C8" s="17" t="s">
        <v>50</v>
      </c>
      <c r="D8" s="17" t="s">
        <v>62</v>
      </c>
      <c r="E8" s="23" t="s">
        <v>297</v>
      </c>
      <c r="F8" s="24">
        <v>36.25</v>
      </c>
      <c r="G8" s="25">
        <v>2018</v>
      </c>
      <c r="I8" s="26">
        <f t="shared" si="0"/>
        <v>36.25</v>
      </c>
      <c r="J8" s="26">
        <f t="shared" si="0"/>
        <v>36.25</v>
      </c>
      <c r="K8" s="26">
        <f t="shared" si="0"/>
        <v>36.25</v>
      </c>
      <c r="L8" s="26">
        <f t="shared" si="0"/>
        <v>0</v>
      </c>
      <c r="M8" s="26">
        <f t="shared" si="0"/>
        <v>0</v>
      </c>
    </row>
    <row r="9" spans="1:13" ht="12.75">
      <c r="A9" s="21">
        <v>5</v>
      </c>
      <c r="B9" s="32" t="s">
        <v>179</v>
      </c>
      <c r="C9" s="44" t="s">
        <v>50</v>
      </c>
      <c r="D9" s="17" t="s">
        <v>51</v>
      </c>
      <c r="E9" s="23" t="s">
        <v>168</v>
      </c>
      <c r="F9" s="24">
        <v>7.5</v>
      </c>
      <c r="G9" s="25">
        <v>2018</v>
      </c>
      <c r="I9" s="26">
        <f t="shared" si="0"/>
        <v>7.5</v>
      </c>
      <c r="J9" s="26">
        <f t="shared" si="0"/>
        <v>7.5</v>
      </c>
      <c r="K9" s="26">
        <f t="shared" si="0"/>
        <v>7.5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32" t="s">
        <v>131</v>
      </c>
      <c r="C10" s="44" t="s">
        <v>61</v>
      </c>
      <c r="D10" s="44" t="s">
        <v>74</v>
      </c>
      <c r="E10" s="23" t="s">
        <v>44</v>
      </c>
      <c r="F10" s="24">
        <v>32.25</v>
      </c>
      <c r="G10" s="25">
        <v>2017</v>
      </c>
      <c r="I10" s="26">
        <f t="shared" si="0"/>
        <v>32.25</v>
      </c>
      <c r="J10" s="26">
        <f t="shared" si="0"/>
        <v>32.25</v>
      </c>
      <c r="K10" s="26">
        <f t="shared" si="0"/>
        <v>0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248</v>
      </c>
      <c r="C11" s="44" t="s">
        <v>42</v>
      </c>
      <c r="D11" s="44" t="s">
        <v>56</v>
      </c>
      <c r="E11" s="23" t="s">
        <v>242</v>
      </c>
      <c r="F11" s="24">
        <v>29.75</v>
      </c>
      <c r="G11" s="25">
        <v>2017</v>
      </c>
      <c r="I11" s="26">
        <f t="shared" si="0"/>
        <v>29.75</v>
      </c>
      <c r="J11" s="26">
        <f t="shared" si="0"/>
        <v>29.75</v>
      </c>
      <c r="K11" s="26">
        <f t="shared" si="0"/>
        <v>0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265</v>
      </c>
      <c r="C12" s="17" t="s">
        <v>45</v>
      </c>
      <c r="D12" s="17" t="s">
        <v>49</v>
      </c>
      <c r="E12" s="23" t="s">
        <v>242</v>
      </c>
      <c r="F12" s="24">
        <v>11</v>
      </c>
      <c r="G12" s="25">
        <v>2017</v>
      </c>
      <c r="I12" s="26">
        <f t="shared" si="0"/>
        <v>11</v>
      </c>
      <c r="J12" s="26">
        <f t="shared" si="0"/>
        <v>11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156</v>
      </c>
      <c r="C13" s="17" t="s">
        <v>50</v>
      </c>
      <c r="D13" s="17" t="s">
        <v>43</v>
      </c>
      <c r="E13" s="23" t="s">
        <v>199</v>
      </c>
      <c r="F13" s="24">
        <v>2.8</v>
      </c>
      <c r="G13" s="25">
        <v>2017</v>
      </c>
      <c r="I13" s="26">
        <f t="shared" si="0"/>
        <v>2.8</v>
      </c>
      <c r="J13" s="26">
        <f t="shared" si="0"/>
        <v>2.8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22" t="s">
        <v>112</v>
      </c>
      <c r="C14" s="17" t="s">
        <v>42</v>
      </c>
      <c r="D14" s="17" t="s">
        <v>71</v>
      </c>
      <c r="E14" s="23" t="s">
        <v>200</v>
      </c>
      <c r="F14" s="24">
        <v>3.85</v>
      </c>
      <c r="G14" s="25">
        <v>2016</v>
      </c>
      <c r="I14" s="26">
        <f t="shared" si="0"/>
        <v>3.85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345</v>
      </c>
      <c r="C15" s="17" t="s">
        <v>66</v>
      </c>
      <c r="D15" s="17" t="s">
        <v>63</v>
      </c>
      <c r="E15" s="23" t="s">
        <v>336</v>
      </c>
      <c r="F15" s="24">
        <v>3.4</v>
      </c>
      <c r="G15" s="25">
        <v>2016</v>
      </c>
      <c r="I15" s="26">
        <f>+IF($G15&gt;=I$3,$F15,0)</f>
        <v>3.4</v>
      </c>
      <c r="J15" s="26">
        <f>+IF($G15&gt;=J$3,$F15,0)</f>
        <v>0</v>
      </c>
      <c r="K15" s="26">
        <f>+IF($G15&gt;=K$3,$F15,0)</f>
        <v>0</v>
      </c>
      <c r="L15" s="26">
        <f>+IF($G15&gt;=L$3,$F15,0)</f>
        <v>0</v>
      </c>
      <c r="M15" s="26">
        <f>+IF($G15&gt;=M$3,$F15,0)</f>
        <v>0</v>
      </c>
    </row>
    <row r="16" spans="1:13" ht="12.75">
      <c r="A16" s="21">
        <v>12</v>
      </c>
      <c r="B16" s="22" t="s">
        <v>344</v>
      </c>
      <c r="C16" s="17" t="s">
        <v>45</v>
      </c>
      <c r="D16" s="17" t="s">
        <v>83</v>
      </c>
      <c r="E16" s="23" t="s">
        <v>336</v>
      </c>
      <c r="F16" s="24">
        <v>3.4</v>
      </c>
      <c r="G16" s="25">
        <v>2016</v>
      </c>
      <c r="I16" s="26">
        <f t="shared" si="0"/>
        <v>3.4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113</v>
      </c>
      <c r="C17" s="44" t="s">
        <v>53</v>
      </c>
      <c r="D17" s="44" t="s">
        <v>69</v>
      </c>
      <c r="E17" s="43" t="s">
        <v>336</v>
      </c>
      <c r="F17" s="24">
        <v>3.4</v>
      </c>
      <c r="G17" s="25">
        <v>2016</v>
      </c>
      <c r="I17" s="26">
        <f t="shared" si="0"/>
        <v>3.4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109</v>
      </c>
      <c r="C18" s="44" t="s">
        <v>55</v>
      </c>
      <c r="D18" s="44" t="s">
        <v>63</v>
      </c>
      <c r="E18" s="23" t="s">
        <v>336</v>
      </c>
      <c r="F18" s="24">
        <v>3.4</v>
      </c>
      <c r="G18" s="25">
        <v>2016</v>
      </c>
      <c r="I18" s="26">
        <f t="shared" si="0"/>
        <v>3.4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22"/>
      <c r="D20" s="17"/>
      <c r="E20" s="23"/>
      <c r="F20" s="24"/>
      <c r="G20" s="25"/>
      <c r="I20" s="28">
        <f>+SUM(I5:I18)</f>
        <v>153.75000000000003</v>
      </c>
      <c r="J20" s="28">
        <f>+SUM(J5:J18)</f>
        <v>136.3</v>
      </c>
      <c r="K20" s="28">
        <f>+SUM(K5:K18)</f>
        <v>60.5</v>
      </c>
      <c r="L20" s="28">
        <f>+SUM(L5:L18)</f>
        <v>16.75</v>
      </c>
      <c r="M20" s="28">
        <f>+SUM(M5:M18)</f>
        <v>12.75</v>
      </c>
    </row>
    <row r="22" spans="1:13" ht="15.75">
      <c r="A22" s="103" t="s">
        <v>59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38</v>
      </c>
      <c r="C24" s="19" t="s">
        <v>39</v>
      </c>
      <c r="D24" s="19" t="s">
        <v>1</v>
      </c>
      <c r="E24" s="19" t="s">
        <v>60</v>
      </c>
      <c r="F24" s="19" t="s">
        <v>9</v>
      </c>
      <c r="G24" s="19" t="s">
        <v>41</v>
      </c>
      <c r="I24" s="20">
        <f>+I$3</f>
        <v>2016</v>
      </c>
      <c r="J24" s="20">
        <f>+J$3</f>
        <v>2017</v>
      </c>
      <c r="K24" s="20">
        <f>+K$3</f>
        <v>2018</v>
      </c>
      <c r="L24" s="20">
        <f>+L$3</f>
        <v>2019</v>
      </c>
      <c r="M24" s="20">
        <f>+M$3</f>
        <v>2020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206</v>
      </c>
      <c r="C26" s="17" t="s">
        <v>55</v>
      </c>
      <c r="D26" s="17" t="s">
        <v>63</v>
      </c>
      <c r="E26" s="23">
        <v>2014</v>
      </c>
      <c r="F26" s="24">
        <v>3</v>
      </c>
      <c r="G26" s="25">
        <v>2018</v>
      </c>
      <c r="I26" s="26">
        <f aca="true" t="shared" si="1" ref="I26:I35">+CEILING(IF($I$24=E26,F26,IF($I$24&lt;=G26,F26*0.3,0)),0.05)</f>
        <v>0.9</v>
      </c>
      <c r="J26" s="26">
        <f aca="true" t="shared" si="2" ref="J26:J35">+CEILING(IF($J$24&lt;=G26,F26*0.3,0),0.05)</f>
        <v>0.9</v>
      </c>
      <c r="K26" s="26">
        <f aca="true" t="shared" si="3" ref="K26:K35">+CEILING(IF($K$24&lt;=G26,F26*0.3,0),0.05)</f>
        <v>0.9</v>
      </c>
      <c r="L26" s="26">
        <f aca="true" t="shared" si="4" ref="L26:L35">+CEILING(IF($L$24&lt;=G26,F26*0.3,0),0.05)</f>
        <v>0</v>
      </c>
      <c r="M26" s="26">
        <f aca="true" t="shared" si="5" ref="M26:M35">CEILING(IF($M$24&lt;=G26,F26*0.3,0),0.05)</f>
        <v>0</v>
      </c>
    </row>
    <row r="27" spans="1:13" ht="12.75">
      <c r="A27" s="21">
        <v>2</v>
      </c>
      <c r="B27" s="22" t="s">
        <v>126</v>
      </c>
      <c r="C27" s="17" t="s">
        <v>50</v>
      </c>
      <c r="D27" s="17" t="s">
        <v>56</v>
      </c>
      <c r="E27" s="23">
        <v>2015</v>
      </c>
      <c r="F27" s="24">
        <v>41.25</v>
      </c>
      <c r="G27" s="25">
        <v>2017</v>
      </c>
      <c r="I27" s="26">
        <f t="shared" si="1"/>
        <v>12.4</v>
      </c>
      <c r="J27" s="26">
        <f t="shared" si="2"/>
        <v>12.4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32" t="s">
        <v>135</v>
      </c>
      <c r="C28" s="17" t="s">
        <v>57</v>
      </c>
      <c r="D28" s="44" t="s">
        <v>77</v>
      </c>
      <c r="E28" s="23">
        <v>2015</v>
      </c>
      <c r="F28" s="24">
        <v>9.8</v>
      </c>
      <c r="G28" s="25">
        <v>2017</v>
      </c>
      <c r="I28" s="26">
        <f t="shared" si="1"/>
        <v>2.95</v>
      </c>
      <c r="J28" s="26">
        <f t="shared" si="2"/>
        <v>2.95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32" t="s">
        <v>178</v>
      </c>
      <c r="C29" s="17" t="s">
        <v>66</v>
      </c>
      <c r="D29" s="17" t="s">
        <v>77</v>
      </c>
      <c r="E29" s="23">
        <v>2016</v>
      </c>
      <c r="F29" s="24">
        <v>20.15</v>
      </c>
      <c r="G29" s="25">
        <v>2016</v>
      </c>
      <c r="I29" s="26">
        <f t="shared" si="1"/>
        <v>20.150000000000002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32" t="s">
        <v>343</v>
      </c>
      <c r="C30" s="44" t="s">
        <v>42</v>
      </c>
      <c r="D30" s="44" t="s">
        <v>62</v>
      </c>
      <c r="E30" s="43">
        <v>2016</v>
      </c>
      <c r="F30" s="24">
        <v>3.4</v>
      </c>
      <c r="G30" s="25">
        <v>2016</v>
      </c>
      <c r="I30" s="26">
        <f>+CEILING(IF($I$24=E30,F30,IF($I$24&lt;=G30,F30*0.3,0)),0.05)</f>
        <v>3.4000000000000004</v>
      </c>
      <c r="J30" s="26">
        <f>+CEILING(IF($J$24&lt;=G30,F30*0.3,0),0.05)</f>
        <v>0</v>
      </c>
      <c r="K30" s="26">
        <f>+CEILING(IF($K$24&lt;=G30,F30*0.3,0),0.05)</f>
        <v>0</v>
      </c>
      <c r="L30" s="26">
        <f>+CEILING(IF($L$24&lt;=G30,F30*0.3,0),0.05)</f>
        <v>0</v>
      </c>
      <c r="M30" s="26">
        <f>CEILING(IF($M$24&lt;=G30,F30*0.3,0),0.05)</f>
        <v>0</v>
      </c>
    </row>
    <row r="31" spans="1:13" ht="12.75">
      <c r="A31" s="21">
        <v>6</v>
      </c>
      <c r="B31" s="22" t="s">
        <v>94</v>
      </c>
      <c r="C31" s="17" t="s">
        <v>45</v>
      </c>
      <c r="D31" s="17" t="s">
        <v>49</v>
      </c>
      <c r="E31" s="23">
        <v>2016</v>
      </c>
      <c r="F31" s="24">
        <v>2.6</v>
      </c>
      <c r="G31" s="25">
        <v>2016</v>
      </c>
      <c r="I31" s="26">
        <f t="shared" si="1"/>
        <v>2.6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3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3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22"/>
      <c r="D34" s="17"/>
      <c r="E34" s="23"/>
      <c r="F34" s="24"/>
      <c r="G34" s="25"/>
      <c r="I34" s="26">
        <f t="shared" si="1"/>
        <v>0</v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</row>
    <row r="35" spans="1:13" ht="12.75">
      <c r="A35" s="21">
        <v>10</v>
      </c>
      <c r="B35" s="22"/>
      <c r="D35" s="17"/>
      <c r="E35" s="23"/>
      <c r="F35" s="24"/>
      <c r="G35" s="25"/>
      <c r="I35" s="26">
        <f t="shared" si="1"/>
        <v>0</v>
      </c>
      <c r="J35" s="26">
        <f t="shared" si="2"/>
        <v>0</v>
      </c>
      <c r="K35" s="26">
        <f t="shared" si="3"/>
        <v>0</v>
      </c>
      <c r="L35" s="26">
        <f t="shared" si="4"/>
        <v>0</v>
      </c>
      <c r="M35" s="26">
        <f t="shared" si="5"/>
        <v>0</v>
      </c>
    </row>
    <row r="36" spans="9:13" ht="7.5" customHeight="1">
      <c r="I36" s="22"/>
      <c r="J36" s="22"/>
      <c r="K36" s="22"/>
      <c r="L36" s="22"/>
      <c r="M36" s="22"/>
    </row>
    <row r="37" spans="9:13" ht="12.75">
      <c r="I37" s="28">
        <f>+SUM(I26:I36)</f>
        <v>42.400000000000006</v>
      </c>
      <c r="J37" s="28">
        <f>+SUM(J26:J36)</f>
        <v>16.25</v>
      </c>
      <c r="K37" s="28">
        <f>+SUM(K26:K36)</f>
        <v>0.9</v>
      </c>
      <c r="L37" s="28">
        <f>+SUM(L26:L36)</f>
        <v>0</v>
      </c>
      <c r="M37" s="28">
        <f>+SUM(M26:M36)</f>
        <v>0</v>
      </c>
    </row>
    <row r="38" spans="9:13" ht="12.75">
      <c r="I38" s="29"/>
      <c r="J38" s="29"/>
      <c r="K38" s="29"/>
      <c r="L38" s="29"/>
      <c r="M38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Light,Bold"&amp;14Dave Cadmus&amp;R&amp;"Copperplate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38</v>
      </c>
      <c r="C3" s="19" t="s">
        <v>39</v>
      </c>
      <c r="D3" s="19" t="s">
        <v>1</v>
      </c>
      <c r="E3" s="19" t="s">
        <v>40</v>
      </c>
      <c r="F3" s="19" t="s">
        <v>9</v>
      </c>
      <c r="G3" s="19" t="s">
        <v>41</v>
      </c>
      <c r="I3" s="20">
        <v>2016</v>
      </c>
      <c r="J3" s="20">
        <v>2017</v>
      </c>
      <c r="K3" s="20">
        <v>2018</v>
      </c>
      <c r="L3" s="20">
        <v>2019</v>
      </c>
      <c r="M3" s="20">
        <v>2020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270</v>
      </c>
      <c r="C5" s="17" t="s">
        <v>53</v>
      </c>
      <c r="D5" s="17" t="s">
        <v>75</v>
      </c>
      <c r="E5" s="23" t="s">
        <v>271</v>
      </c>
      <c r="F5" s="24">
        <v>12.75</v>
      </c>
      <c r="G5" s="30">
        <v>2020</v>
      </c>
      <c r="I5" s="26">
        <f aca="true" t="shared" si="0" ref="I5:M18">+IF($G5&gt;=I$3,$F5,0)</f>
        <v>12.75</v>
      </c>
      <c r="J5" s="26">
        <f t="shared" si="0"/>
        <v>12.75</v>
      </c>
      <c r="K5" s="26">
        <f t="shared" si="0"/>
        <v>12.75</v>
      </c>
      <c r="L5" s="26">
        <f t="shared" si="0"/>
        <v>12.75</v>
      </c>
      <c r="M5" s="26">
        <f t="shared" si="0"/>
        <v>12.75</v>
      </c>
    </row>
    <row r="6" spans="1:13" ht="12.75">
      <c r="A6" s="21">
        <v>2</v>
      </c>
      <c r="B6" s="32" t="s">
        <v>286</v>
      </c>
      <c r="C6" s="17" t="s">
        <v>48</v>
      </c>
      <c r="D6" s="17" t="s">
        <v>62</v>
      </c>
      <c r="E6" s="23" t="s">
        <v>271</v>
      </c>
      <c r="F6" s="24">
        <v>3.4</v>
      </c>
      <c r="G6" s="25">
        <v>2020</v>
      </c>
      <c r="I6" s="26">
        <f t="shared" si="0"/>
        <v>3.4</v>
      </c>
      <c r="J6" s="26">
        <f t="shared" si="0"/>
        <v>3.4</v>
      </c>
      <c r="K6" s="26">
        <f t="shared" si="0"/>
        <v>3.4</v>
      </c>
      <c r="L6" s="26">
        <f t="shared" si="0"/>
        <v>3.4</v>
      </c>
      <c r="M6" s="26">
        <f t="shared" si="0"/>
        <v>3.4</v>
      </c>
    </row>
    <row r="7" spans="1:13" ht="12.75">
      <c r="A7" s="21">
        <v>3</v>
      </c>
      <c r="B7" s="22" t="s">
        <v>236</v>
      </c>
      <c r="C7" s="17" t="s">
        <v>48</v>
      </c>
      <c r="D7" s="17" t="s">
        <v>56</v>
      </c>
      <c r="E7" s="23" t="s">
        <v>221</v>
      </c>
      <c r="F7" s="24">
        <v>5.6</v>
      </c>
      <c r="G7" s="25">
        <v>2019</v>
      </c>
      <c r="I7" s="26">
        <f t="shared" si="0"/>
        <v>5.6</v>
      </c>
      <c r="J7" s="26">
        <f t="shared" si="0"/>
        <v>5.6</v>
      </c>
      <c r="K7" s="26">
        <f t="shared" si="0"/>
        <v>5.6</v>
      </c>
      <c r="L7" s="26">
        <f t="shared" si="0"/>
        <v>5.6</v>
      </c>
      <c r="M7" s="26">
        <f t="shared" si="0"/>
        <v>0</v>
      </c>
    </row>
    <row r="8" spans="1:13" ht="12.75">
      <c r="A8" s="21">
        <v>4</v>
      </c>
      <c r="B8" s="42" t="s">
        <v>173</v>
      </c>
      <c r="C8" s="17" t="s">
        <v>50</v>
      </c>
      <c r="D8" s="17" t="s">
        <v>80</v>
      </c>
      <c r="E8" s="23" t="s">
        <v>168</v>
      </c>
      <c r="F8" s="24">
        <v>8.25</v>
      </c>
      <c r="G8" s="25">
        <v>2018</v>
      </c>
      <c r="I8" s="26">
        <f t="shared" si="0"/>
        <v>8.25</v>
      </c>
      <c r="J8" s="26">
        <f t="shared" si="0"/>
        <v>8.25</v>
      </c>
      <c r="K8" s="26">
        <f t="shared" si="0"/>
        <v>8.25</v>
      </c>
      <c r="L8" s="26">
        <f t="shared" si="0"/>
        <v>0</v>
      </c>
      <c r="M8" s="26">
        <f t="shared" si="0"/>
        <v>0</v>
      </c>
    </row>
    <row r="9" spans="1:13" ht="12.75">
      <c r="A9" s="21">
        <v>5</v>
      </c>
      <c r="B9" s="32" t="s">
        <v>322</v>
      </c>
      <c r="C9" s="17" t="s">
        <v>42</v>
      </c>
      <c r="D9" s="17" t="s">
        <v>65</v>
      </c>
      <c r="E9" s="23" t="s">
        <v>297</v>
      </c>
      <c r="F9" s="24">
        <v>3.4</v>
      </c>
      <c r="G9" s="25">
        <v>2018</v>
      </c>
      <c r="I9" s="26">
        <f t="shared" si="0"/>
        <v>3.4</v>
      </c>
      <c r="J9" s="26">
        <f t="shared" si="0"/>
        <v>3.4</v>
      </c>
      <c r="K9" s="26">
        <f t="shared" si="0"/>
        <v>3.4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32" t="s">
        <v>334</v>
      </c>
      <c r="C10" s="44" t="s">
        <v>42</v>
      </c>
      <c r="D10" s="44" t="s">
        <v>80</v>
      </c>
      <c r="E10" s="43" t="s">
        <v>297</v>
      </c>
      <c r="F10" s="24">
        <v>3.4</v>
      </c>
      <c r="G10" s="30">
        <v>2018</v>
      </c>
      <c r="I10" s="26">
        <f t="shared" si="0"/>
        <v>3.4</v>
      </c>
      <c r="J10" s="26">
        <f t="shared" si="0"/>
        <v>3.4</v>
      </c>
      <c r="K10" s="26">
        <f t="shared" si="0"/>
        <v>3.4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148</v>
      </c>
      <c r="C11" s="17" t="s">
        <v>45</v>
      </c>
      <c r="D11" s="17" t="s">
        <v>76</v>
      </c>
      <c r="E11" s="23" t="s">
        <v>44</v>
      </c>
      <c r="F11" s="24">
        <v>28.3</v>
      </c>
      <c r="G11" s="25">
        <v>2017</v>
      </c>
      <c r="I11" s="26">
        <f t="shared" si="0"/>
        <v>28.3</v>
      </c>
      <c r="J11" s="26">
        <f t="shared" si="0"/>
        <v>28.3</v>
      </c>
      <c r="K11" s="26">
        <f t="shared" si="0"/>
        <v>0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139</v>
      </c>
      <c r="C12" s="17" t="s">
        <v>61</v>
      </c>
      <c r="D12" s="17" t="s">
        <v>83</v>
      </c>
      <c r="E12" s="23" t="s">
        <v>199</v>
      </c>
      <c r="F12" s="24">
        <v>7</v>
      </c>
      <c r="G12" s="25">
        <v>2017</v>
      </c>
      <c r="I12" s="26">
        <f t="shared" si="0"/>
        <v>7</v>
      </c>
      <c r="J12" s="26">
        <f t="shared" si="0"/>
        <v>7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159</v>
      </c>
      <c r="C13" s="17" t="s">
        <v>55</v>
      </c>
      <c r="D13" s="17" t="s">
        <v>56</v>
      </c>
      <c r="E13" s="23" t="s">
        <v>44</v>
      </c>
      <c r="F13" s="24">
        <v>4.55</v>
      </c>
      <c r="G13" s="25">
        <v>2017</v>
      </c>
      <c r="I13" s="26">
        <f t="shared" si="0"/>
        <v>4.55</v>
      </c>
      <c r="J13" s="26">
        <f t="shared" si="0"/>
        <v>4.55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320</v>
      </c>
      <c r="C14" s="17" t="s">
        <v>61</v>
      </c>
      <c r="D14" s="17" t="s">
        <v>321</v>
      </c>
      <c r="E14" s="23" t="s">
        <v>297</v>
      </c>
      <c r="F14" s="24">
        <v>18.8</v>
      </c>
      <c r="G14" s="25">
        <v>2016</v>
      </c>
      <c r="I14" s="26">
        <f aca="true" t="shared" si="1" ref="I14:M17">+IF($G14&gt;=I$3,$F14,0)</f>
        <v>18.8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26">
        <f t="shared" si="1"/>
        <v>0</v>
      </c>
    </row>
    <row r="15" spans="1:13" ht="12.75">
      <c r="A15" s="21">
        <v>11</v>
      </c>
      <c r="B15" s="32" t="s">
        <v>243</v>
      </c>
      <c r="C15" s="44" t="s">
        <v>45</v>
      </c>
      <c r="D15" s="44" t="s">
        <v>63</v>
      </c>
      <c r="E15" s="43" t="s">
        <v>242</v>
      </c>
      <c r="F15" s="24">
        <v>16.7</v>
      </c>
      <c r="G15" s="25">
        <v>2016</v>
      </c>
      <c r="I15" s="26">
        <f t="shared" si="1"/>
        <v>16.7</v>
      </c>
      <c r="J15" s="26">
        <f t="shared" si="1"/>
        <v>0</v>
      </c>
      <c r="K15" s="26">
        <f t="shared" si="1"/>
        <v>0</v>
      </c>
      <c r="L15" s="26">
        <f t="shared" si="1"/>
        <v>0</v>
      </c>
      <c r="M15" s="26">
        <f t="shared" si="1"/>
        <v>0</v>
      </c>
    </row>
    <row r="16" spans="1:13" ht="12.75">
      <c r="A16" s="21">
        <v>12</v>
      </c>
      <c r="B16" s="22" t="s">
        <v>101</v>
      </c>
      <c r="C16" s="17" t="s">
        <v>57</v>
      </c>
      <c r="D16" s="17" t="s">
        <v>70</v>
      </c>
      <c r="E16" s="23" t="s">
        <v>200</v>
      </c>
      <c r="F16" s="24">
        <v>9</v>
      </c>
      <c r="G16" s="25">
        <v>2016</v>
      </c>
      <c r="I16" s="26">
        <f t="shared" si="1"/>
        <v>9</v>
      </c>
      <c r="J16" s="26">
        <f t="shared" si="1"/>
        <v>0</v>
      </c>
      <c r="K16" s="26">
        <f t="shared" si="1"/>
        <v>0</v>
      </c>
      <c r="L16" s="26">
        <f t="shared" si="1"/>
        <v>0</v>
      </c>
      <c r="M16" s="26">
        <f t="shared" si="1"/>
        <v>0</v>
      </c>
    </row>
    <row r="17" spans="1:13" ht="12.75">
      <c r="A17" s="21">
        <v>13</v>
      </c>
      <c r="B17" s="32" t="s">
        <v>352</v>
      </c>
      <c r="C17" s="17" t="s">
        <v>55</v>
      </c>
      <c r="D17" s="17" t="s">
        <v>52</v>
      </c>
      <c r="E17" s="23" t="s">
        <v>336</v>
      </c>
      <c r="F17" s="24">
        <v>3.4</v>
      </c>
      <c r="G17" s="25">
        <v>2016</v>
      </c>
      <c r="I17" s="26">
        <f t="shared" si="1"/>
        <v>3.4</v>
      </c>
      <c r="J17" s="26">
        <f t="shared" si="1"/>
        <v>0</v>
      </c>
      <c r="K17" s="26">
        <f t="shared" si="1"/>
        <v>0</v>
      </c>
      <c r="L17" s="26">
        <f t="shared" si="1"/>
        <v>0</v>
      </c>
      <c r="M17" s="26">
        <f t="shared" si="1"/>
        <v>0</v>
      </c>
    </row>
    <row r="18" spans="1:13" ht="12.75">
      <c r="A18" s="21">
        <v>14</v>
      </c>
      <c r="B18" s="32" t="s">
        <v>117</v>
      </c>
      <c r="C18" s="17" t="s">
        <v>45</v>
      </c>
      <c r="D18" s="17" t="s">
        <v>78</v>
      </c>
      <c r="E18" s="23" t="s">
        <v>336</v>
      </c>
      <c r="F18" s="24">
        <v>3.4</v>
      </c>
      <c r="G18" s="25">
        <v>2016</v>
      </c>
      <c r="H18" s="16">
        <v>2</v>
      </c>
      <c r="I18" s="26">
        <f t="shared" si="0"/>
        <v>3.4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22"/>
      <c r="D20" s="17"/>
      <c r="E20" s="23"/>
      <c r="F20" s="24"/>
      <c r="G20" s="25"/>
      <c r="I20" s="28">
        <f>+SUM(I5:I18)</f>
        <v>127.95</v>
      </c>
      <c r="J20" s="28">
        <f>+SUM(J5:J18)</f>
        <v>76.64999999999999</v>
      </c>
      <c r="K20" s="28">
        <f>+SUM(K5:K18)</f>
        <v>36.8</v>
      </c>
      <c r="L20" s="28">
        <f>+SUM(L5:L18)</f>
        <v>21.75</v>
      </c>
      <c r="M20" s="28">
        <f>+SUM(M5:M18)</f>
        <v>16.15</v>
      </c>
    </row>
    <row r="22" spans="1:13" ht="15.75">
      <c r="A22" s="103" t="s">
        <v>59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38</v>
      </c>
      <c r="C24" s="19" t="s">
        <v>39</v>
      </c>
      <c r="D24" s="19" t="s">
        <v>1</v>
      </c>
      <c r="E24" s="19" t="s">
        <v>60</v>
      </c>
      <c r="F24" s="19" t="s">
        <v>9</v>
      </c>
      <c r="G24" s="19" t="s">
        <v>41</v>
      </c>
      <c r="I24" s="20">
        <f>+I$3</f>
        <v>2016</v>
      </c>
      <c r="J24" s="20">
        <f>+J$3</f>
        <v>2017</v>
      </c>
      <c r="K24" s="20">
        <f>+K$3</f>
        <v>2018</v>
      </c>
      <c r="L24" s="20">
        <f>+L$3</f>
        <v>2019</v>
      </c>
      <c r="M24" s="20">
        <f>+M$3</f>
        <v>2020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42" t="s">
        <v>205</v>
      </c>
      <c r="C26" s="17" t="s">
        <v>57</v>
      </c>
      <c r="D26" s="17" t="s">
        <v>79</v>
      </c>
      <c r="E26" s="23">
        <v>2015</v>
      </c>
      <c r="F26" s="24">
        <v>3</v>
      </c>
      <c r="G26" s="25">
        <v>2018</v>
      </c>
      <c r="I26" s="26">
        <f aca="true" t="shared" si="2" ref="I26:I33">+CEILING(IF($I$24=E26,F26,IF($I$24&lt;=G26,F26*0.3,0)),0.05)</f>
        <v>0.9</v>
      </c>
      <c r="J26" s="26">
        <f aca="true" t="shared" si="3" ref="J26:J33">+CEILING(IF($J$24&lt;=G26,F26*0.3,0),0.05)</f>
        <v>0.9</v>
      </c>
      <c r="K26" s="26">
        <f aca="true" t="shared" si="4" ref="K26:K33">+CEILING(IF($K$24&lt;=G26,F26*0.3,0),0.05)</f>
        <v>0.9</v>
      </c>
      <c r="L26" s="26">
        <f aca="true" t="shared" si="5" ref="L26:L33">+CEILING(IF($L$24&lt;=G26,F26*0.3,0),0.05)</f>
        <v>0</v>
      </c>
      <c r="M26" s="26">
        <f aca="true" t="shared" si="6" ref="M26:M33">CEILING(IF($M$24&lt;=G26,F26*0.3,0),0.05)</f>
        <v>0</v>
      </c>
    </row>
    <row r="27" spans="1:13" ht="12.75">
      <c r="A27" s="21">
        <v>2</v>
      </c>
      <c r="B27" s="32" t="s">
        <v>127</v>
      </c>
      <c r="C27" s="17" t="s">
        <v>66</v>
      </c>
      <c r="D27" s="17" t="s">
        <v>73</v>
      </c>
      <c r="E27" s="23">
        <v>2016</v>
      </c>
      <c r="F27" s="24">
        <v>10.9</v>
      </c>
      <c r="G27" s="25">
        <v>2017</v>
      </c>
      <c r="I27" s="26">
        <f t="shared" si="2"/>
        <v>10.9</v>
      </c>
      <c r="J27" s="26">
        <f t="shared" si="3"/>
        <v>3.3000000000000003</v>
      </c>
      <c r="K27" s="26">
        <f t="shared" si="4"/>
        <v>0</v>
      </c>
      <c r="L27" s="26">
        <f t="shared" si="5"/>
        <v>0</v>
      </c>
      <c r="M27" s="26">
        <f t="shared" si="6"/>
        <v>0</v>
      </c>
    </row>
    <row r="28" spans="1:13" ht="12.75">
      <c r="A28" s="21">
        <v>3</v>
      </c>
      <c r="B28" s="32" t="s">
        <v>262</v>
      </c>
      <c r="C28" s="17" t="s">
        <v>66</v>
      </c>
      <c r="D28" s="17" t="s">
        <v>62</v>
      </c>
      <c r="E28" s="23">
        <v>2016</v>
      </c>
      <c r="F28" s="24">
        <v>3.45</v>
      </c>
      <c r="G28" s="25">
        <v>2017</v>
      </c>
      <c r="I28" s="26">
        <f t="shared" si="2"/>
        <v>3.45</v>
      </c>
      <c r="J28" s="26">
        <f t="shared" si="3"/>
        <v>1.05</v>
      </c>
      <c r="K28" s="26">
        <f t="shared" si="4"/>
        <v>0</v>
      </c>
      <c r="L28" s="26">
        <f t="shared" si="5"/>
        <v>0</v>
      </c>
      <c r="M28" s="26">
        <f t="shared" si="6"/>
        <v>0</v>
      </c>
    </row>
    <row r="29" spans="1:13" ht="12.75">
      <c r="A29" s="21">
        <v>4</v>
      </c>
      <c r="B29" s="32" t="s">
        <v>259</v>
      </c>
      <c r="C29" s="17" t="s">
        <v>66</v>
      </c>
      <c r="D29" s="17" t="s">
        <v>46</v>
      </c>
      <c r="E29" s="23">
        <v>2015</v>
      </c>
      <c r="F29" s="24">
        <v>3.2</v>
      </c>
      <c r="G29" s="25">
        <v>2017</v>
      </c>
      <c r="I29" s="26">
        <f t="shared" si="2"/>
        <v>1</v>
      </c>
      <c r="J29" s="26">
        <f t="shared" si="3"/>
        <v>1</v>
      </c>
      <c r="K29" s="26">
        <f t="shared" si="4"/>
        <v>0</v>
      </c>
      <c r="L29" s="26">
        <f t="shared" si="5"/>
        <v>0</v>
      </c>
      <c r="M29" s="26">
        <f t="shared" si="6"/>
        <v>0</v>
      </c>
    </row>
    <row r="30" spans="1:13" ht="12.75">
      <c r="A30" s="21">
        <v>5</v>
      </c>
      <c r="B30" s="32" t="s">
        <v>158</v>
      </c>
      <c r="C30" s="17" t="s">
        <v>42</v>
      </c>
      <c r="D30" s="17" t="s">
        <v>56</v>
      </c>
      <c r="E30" s="23">
        <v>2013</v>
      </c>
      <c r="F30" s="24">
        <v>2.8</v>
      </c>
      <c r="G30" s="25">
        <v>2017</v>
      </c>
      <c r="I30" s="26">
        <f t="shared" si="2"/>
        <v>0.8500000000000001</v>
      </c>
      <c r="J30" s="26">
        <f t="shared" si="3"/>
        <v>0.8500000000000001</v>
      </c>
      <c r="K30" s="26">
        <f t="shared" si="4"/>
        <v>0</v>
      </c>
      <c r="L30" s="26">
        <f t="shared" si="5"/>
        <v>0</v>
      </c>
      <c r="M30" s="26">
        <f t="shared" si="6"/>
        <v>0</v>
      </c>
    </row>
    <row r="31" spans="1:13" ht="12.75">
      <c r="A31" s="21">
        <v>6</v>
      </c>
      <c r="B31" s="32" t="s">
        <v>263</v>
      </c>
      <c r="C31" s="17" t="s">
        <v>55</v>
      </c>
      <c r="D31" s="17" t="s">
        <v>58</v>
      </c>
      <c r="E31" s="23">
        <v>2015</v>
      </c>
      <c r="F31" s="24">
        <v>4.15</v>
      </c>
      <c r="G31" s="30">
        <v>2016</v>
      </c>
      <c r="I31" s="26">
        <f t="shared" si="2"/>
        <v>1.25</v>
      </c>
      <c r="J31" s="26">
        <f t="shared" si="3"/>
        <v>0</v>
      </c>
      <c r="K31" s="26">
        <f t="shared" si="4"/>
        <v>0</v>
      </c>
      <c r="L31" s="26">
        <f t="shared" si="5"/>
        <v>0</v>
      </c>
      <c r="M31" s="26">
        <f t="shared" si="6"/>
        <v>0</v>
      </c>
    </row>
    <row r="32" spans="1:13" ht="12.75">
      <c r="A32" s="21">
        <v>7</v>
      </c>
      <c r="B32" s="22" t="s">
        <v>102</v>
      </c>
      <c r="C32" s="17" t="s">
        <v>48</v>
      </c>
      <c r="D32" s="17" t="s">
        <v>80</v>
      </c>
      <c r="E32" s="23">
        <v>2013</v>
      </c>
      <c r="F32" s="24">
        <v>2.6</v>
      </c>
      <c r="G32" s="25">
        <v>2016</v>
      </c>
      <c r="I32" s="26">
        <f t="shared" si="2"/>
        <v>0.8</v>
      </c>
      <c r="J32" s="26">
        <f t="shared" si="3"/>
        <v>0</v>
      </c>
      <c r="K32" s="26">
        <f t="shared" si="4"/>
        <v>0</v>
      </c>
      <c r="L32" s="26">
        <f t="shared" si="5"/>
        <v>0</v>
      </c>
      <c r="M32" s="26">
        <f t="shared" si="6"/>
        <v>0</v>
      </c>
    </row>
    <row r="33" spans="1:13" ht="12.75">
      <c r="A33" s="21">
        <v>8</v>
      </c>
      <c r="D33" s="17"/>
      <c r="E33" s="17"/>
      <c r="G33" s="17"/>
      <c r="I33" s="26">
        <f t="shared" si="2"/>
        <v>0</v>
      </c>
      <c r="J33" s="26">
        <f t="shared" si="3"/>
        <v>0</v>
      </c>
      <c r="K33" s="26">
        <f t="shared" si="4"/>
        <v>0</v>
      </c>
      <c r="L33" s="26">
        <f t="shared" si="5"/>
        <v>0</v>
      </c>
      <c r="M33" s="26">
        <f t="shared" si="6"/>
        <v>0</v>
      </c>
    </row>
    <row r="34" spans="9:13" ht="7.5" customHeight="1">
      <c r="I34" s="22"/>
      <c r="J34" s="22"/>
      <c r="K34" s="22"/>
      <c r="L34" s="22"/>
      <c r="M34" s="22"/>
    </row>
    <row r="35" spans="9:13" ht="12.75">
      <c r="I35" s="28">
        <f>+SUM(I26:I34)</f>
        <v>19.150000000000002</v>
      </c>
      <c r="J35" s="28">
        <f>+SUM(J26:J34)</f>
        <v>7.1</v>
      </c>
      <c r="K35" s="28">
        <f>+SUM(K26:K34)</f>
        <v>0.9</v>
      </c>
      <c r="L35" s="28">
        <f>+SUM(L26:L34)</f>
        <v>0</v>
      </c>
      <c r="M35" s="28">
        <f>+SUM(M26:M34)</f>
        <v>0</v>
      </c>
    </row>
    <row r="36" spans="9:13" ht="12.75">
      <c r="I36" s="29"/>
      <c r="J36" s="29"/>
      <c r="K36" s="29"/>
      <c r="L36" s="29"/>
      <c r="M36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Light,Bold"&amp;14Mark Deffner&amp;R&amp;"Copperplate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38</v>
      </c>
      <c r="C3" s="19" t="s">
        <v>39</v>
      </c>
      <c r="D3" s="19" t="s">
        <v>1</v>
      </c>
      <c r="E3" s="19" t="s">
        <v>40</v>
      </c>
      <c r="F3" s="19" t="s">
        <v>9</v>
      </c>
      <c r="G3" s="19" t="s">
        <v>41</v>
      </c>
      <c r="I3" s="20">
        <v>2016</v>
      </c>
      <c r="J3" s="20">
        <v>2017</v>
      </c>
      <c r="K3" s="20">
        <v>2018</v>
      </c>
      <c r="L3" s="20">
        <v>2019</v>
      </c>
      <c r="M3" s="20">
        <v>2020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269</v>
      </c>
      <c r="C5" s="17" t="s">
        <v>66</v>
      </c>
      <c r="D5" s="17" t="s">
        <v>79</v>
      </c>
      <c r="E5" s="23" t="s">
        <v>271</v>
      </c>
      <c r="F5" s="24">
        <v>13.6</v>
      </c>
      <c r="G5" s="25">
        <v>2020</v>
      </c>
      <c r="I5" s="26">
        <f aca="true" t="shared" si="0" ref="I5:M18">+IF($G5&gt;=I$3,$F5,0)</f>
        <v>13.6</v>
      </c>
      <c r="J5" s="26">
        <f t="shared" si="0"/>
        <v>13.6</v>
      </c>
      <c r="K5" s="26">
        <f t="shared" si="0"/>
        <v>13.6</v>
      </c>
      <c r="L5" s="26">
        <f t="shared" si="0"/>
        <v>13.6</v>
      </c>
      <c r="M5" s="26">
        <f t="shared" si="0"/>
        <v>13.6</v>
      </c>
    </row>
    <row r="6" spans="1:13" ht="12.75">
      <c r="A6" s="21">
        <v>2</v>
      </c>
      <c r="B6" s="32" t="s">
        <v>220</v>
      </c>
      <c r="C6" s="44" t="s">
        <v>61</v>
      </c>
      <c r="D6" s="44" t="s">
        <v>47</v>
      </c>
      <c r="E6" s="23" t="s">
        <v>221</v>
      </c>
      <c r="F6" s="24">
        <v>12.8</v>
      </c>
      <c r="G6" s="25">
        <v>2019</v>
      </c>
      <c r="I6" s="26">
        <f t="shared" si="0"/>
        <v>12.8</v>
      </c>
      <c r="J6" s="26">
        <f t="shared" si="0"/>
        <v>12.8</v>
      </c>
      <c r="K6" s="26">
        <f t="shared" si="0"/>
        <v>12.8</v>
      </c>
      <c r="L6" s="26">
        <f t="shared" si="0"/>
        <v>12.8</v>
      </c>
      <c r="M6" s="26">
        <f t="shared" si="0"/>
        <v>0</v>
      </c>
    </row>
    <row r="7" spans="1:13" ht="12.75">
      <c r="A7" s="21">
        <v>3</v>
      </c>
      <c r="B7" s="32" t="s">
        <v>165</v>
      </c>
      <c r="C7" s="17" t="s">
        <v>45</v>
      </c>
      <c r="D7" s="17" t="s">
        <v>67</v>
      </c>
      <c r="E7" s="23" t="s">
        <v>163</v>
      </c>
      <c r="F7" s="24">
        <v>49.4</v>
      </c>
      <c r="G7" s="25">
        <v>2018</v>
      </c>
      <c r="I7" s="26">
        <f t="shared" si="0"/>
        <v>49.4</v>
      </c>
      <c r="J7" s="26">
        <f t="shared" si="0"/>
        <v>49.4</v>
      </c>
      <c r="K7" s="26">
        <f t="shared" si="0"/>
        <v>49.4</v>
      </c>
      <c r="L7" s="26">
        <f t="shared" si="0"/>
        <v>0</v>
      </c>
      <c r="M7" s="26">
        <f t="shared" si="0"/>
        <v>0</v>
      </c>
    </row>
    <row r="8" spans="1:13" ht="12.75">
      <c r="A8" s="21">
        <v>4</v>
      </c>
      <c r="B8" s="32" t="s">
        <v>190</v>
      </c>
      <c r="C8" s="44" t="s">
        <v>55</v>
      </c>
      <c r="D8" s="44" t="s">
        <v>62</v>
      </c>
      <c r="E8" s="43" t="s">
        <v>163</v>
      </c>
      <c r="F8" s="24">
        <v>20.25</v>
      </c>
      <c r="G8" s="25">
        <v>2018</v>
      </c>
      <c r="I8" s="26">
        <f t="shared" si="0"/>
        <v>20.25</v>
      </c>
      <c r="J8" s="26">
        <f t="shared" si="0"/>
        <v>20.25</v>
      </c>
      <c r="K8" s="26">
        <f t="shared" si="0"/>
        <v>20.25</v>
      </c>
      <c r="L8" s="26">
        <f t="shared" si="0"/>
        <v>0</v>
      </c>
      <c r="M8" s="26">
        <f t="shared" si="0"/>
        <v>0</v>
      </c>
    </row>
    <row r="9" spans="1:13" ht="12.75">
      <c r="A9" s="21">
        <v>5</v>
      </c>
      <c r="B9" s="22" t="s">
        <v>155</v>
      </c>
      <c r="C9" s="17" t="s">
        <v>53</v>
      </c>
      <c r="D9" s="17" t="s">
        <v>70</v>
      </c>
      <c r="E9" s="17" t="s">
        <v>199</v>
      </c>
      <c r="F9" s="24">
        <v>2.8</v>
      </c>
      <c r="G9" s="25">
        <v>2017</v>
      </c>
      <c r="I9" s="26">
        <f t="shared" si="0"/>
        <v>2.8</v>
      </c>
      <c r="J9" s="26">
        <f t="shared" si="0"/>
        <v>2.8</v>
      </c>
      <c r="K9" s="26">
        <f t="shared" si="0"/>
        <v>0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32" t="s">
        <v>92</v>
      </c>
      <c r="C10" s="44" t="s">
        <v>66</v>
      </c>
      <c r="D10" s="44" t="s">
        <v>83</v>
      </c>
      <c r="E10" s="23" t="s">
        <v>44</v>
      </c>
      <c r="F10" s="24">
        <v>62.25</v>
      </c>
      <c r="G10" s="25">
        <v>2016</v>
      </c>
      <c r="I10" s="26">
        <f t="shared" si="0"/>
        <v>62.25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1" t="s">
        <v>318</v>
      </c>
      <c r="C11" s="17" t="s">
        <v>55</v>
      </c>
      <c r="D11" s="17" t="s">
        <v>80</v>
      </c>
      <c r="E11" s="23" t="s">
        <v>297</v>
      </c>
      <c r="F11" s="24">
        <v>7.3</v>
      </c>
      <c r="G11" s="25">
        <v>2016</v>
      </c>
      <c r="I11" s="26">
        <f t="shared" si="0"/>
        <v>7.3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353</v>
      </c>
      <c r="C12" s="17" t="s">
        <v>66</v>
      </c>
      <c r="D12" s="17" t="s">
        <v>72</v>
      </c>
      <c r="E12" s="23" t="s">
        <v>336</v>
      </c>
      <c r="F12" s="24">
        <v>3.4</v>
      </c>
      <c r="G12" s="25">
        <v>2016</v>
      </c>
      <c r="I12" s="26">
        <f t="shared" si="0"/>
        <v>3.4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1" t="s">
        <v>126</v>
      </c>
      <c r="C13" s="17" t="s">
        <v>50</v>
      </c>
      <c r="D13" s="17" t="s">
        <v>52</v>
      </c>
      <c r="E13" s="23" t="s">
        <v>336</v>
      </c>
      <c r="F13" s="24">
        <v>3.4</v>
      </c>
      <c r="G13" s="25">
        <v>2016</v>
      </c>
      <c r="I13" s="26">
        <f t="shared" si="0"/>
        <v>3.4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356</v>
      </c>
      <c r="C14" s="17" t="s">
        <v>45</v>
      </c>
      <c r="D14" s="17" t="s">
        <v>73</v>
      </c>
      <c r="E14" s="23" t="s">
        <v>336</v>
      </c>
      <c r="F14" s="24">
        <v>3.4</v>
      </c>
      <c r="G14" s="25">
        <v>2016</v>
      </c>
      <c r="I14" s="26">
        <f t="shared" si="0"/>
        <v>3.4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354</v>
      </c>
      <c r="C15" s="44" t="s">
        <v>66</v>
      </c>
      <c r="D15" s="44" t="s">
        <v>71</v>
      </c>
      <c r="E15" s="43" t="s">
        <v>336</v>
      </c>
      <c r="F15" s="24">
        <v>3.4</v>
      </c>
      <c r="G15" s="25">
        <v>2016</v>
      </c>
      <c r="I15" s="26">
        <f t="shared" si="0"/>
        <v>3.4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137</v>
      </c>
      <c r="C16" s="17" t="s">
        <v>42</v>
      </c>
      <c r="D16" s="44" t="s">
        <v>72</v>
      </c>
      <c r="E16" s="23" t="s">
        <v>336</v>
      </c>
      <c r="F16" s="24">
        <v>3.4</v>
      </c>
      <c r="G16" s="25">
        <v>2016</v>
      </c>
      <c r="I16" s="26">
        <f t="shared" si="0"/>
        <v>3.4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259</v>
      </c>
      <c r="C17" s="44" t="s">
        <v>66</v>
      </c>
      <c r="D17" s="44" t="s">
        <v>43</v>
      </c>
      <c r="E17" s="23" t="s">
        <v>336</v>
      </c>
      <c r="F17" s="24">
        <v>3.4</v>
      </c>
      <c r="G17" s="25">
        <v>2016</v>
      </c>
      <c r="I17" s="26">
        <f t="shared" si="0"/>
        <v>3.4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357</v>
      </c>
      <c r="C18" s="44" t="s">
        <v>42</v>
      </c>
      <c r="D18" s="44" t="s">
        <v>76</v>
      </c>
      <c r="E18" s="23" t="s">
        <v>297</v>
      </c>
      <c r="F18" s="24">
        <v>3.4</v>
      </c>
      <c r="G18" s="25">
        <v>2016</v>
      </c>
      <c r="I18" s="26">
        <f t="shared" si="0"/>
        <v>3.4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32"/>
      <c r="C20" s="44"/>
      <c r="D20" s="44"/>
      <c r="E20" s="23"/>
      <c r="F20" s="24"/>
      <c r="G20" s="25"/>
      <c r="I20" s="28">
        <f>+SUM(I5:I18)</f>
        <v>192.20000000000005</v>
      </c>
      <c r="J20" s="28">
        <f>+SUM(J5:J18)</f>
        <v>98.85</v>
      </c>
      <c r="K20" s="28">
        <f>+SUM(K5:K18)</f>
        <v>96.05</v>
      </c>
      <c r="L20" s="28">
        <f>+SUM(L5:L18)</f>
        <v>26.4</v>
      </c>
      <c r="M20" s="28">
        <f>+SUM(M5:M18)</f>
        <v>13.6</v>
      </c>
    </row>
    <row r="22" spans="1:13" ht="15.75">
      <c r="A22" s="103" t="s">
        <v>59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38</v>
      </c>
      <c r="C24" s="19" t="s">
        <v>39</v>
      </c>
      <c r="D24" s="19" t="s">
        <v>1</v>
      </c>
      <c r="E24" s="19" t="s">
        <v>60</v>
      </c>
      <c r="F24" s="19" t="s">
        <v>9</v>
      </c>
      <c r="G24" s="19" t="s">
        <v>41</v>
      </c>
      <c r="I24" s="20">
        <f>+I$3</f>
        <v>2016</v>
      </c>
      <c r="J24" s="20">
        <f>+J$3</f>
        <v>2017</v>
      </c>
      <c r="K24" s="20">
        <f>+K$3</f>
        <v>2018</v>
      </c>
      <c r="L24" s="20">
        <f>+L$3</f>
        <v>2019</v>
      </c>
      <c r="M24" s="20">
        <f>+M$3</f>
        <v>2020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232</v>
      </c>
      <c r="C26" s="17" t="s">
        <v>53</v>
      </c>
      <c r="D26" s="44" t="s">
        <v>46</v>
      </c>
      <c r="E26" s="23">
        <v>2015</v>
      </c>
      <c r="F26" s="24">
        <v>8.8</v>
      </c>
      <c r="G26" s="25">
        <v>2019</v>
      </c>
      <c r="I26" s="26">
        <f aca="true" t="shared" si="1" ref="I26:I33">+CEILING(IF($I$24=E26,F26,IF($I$24&lt;=G26,F26*0.3,0)),0.05)</f>
        <v>2.6500000000000004</v>
      </c>
      <c r="J26" s="26">
        <f aca="true" t="shared" si="2" ref="J26:J33">+CEILING(IF($J$24&lt;=G26,F26*0.3,0),0.05)</f>
        <v>2.6500000000000004</v>
      </c>
      <c r="K26" s="26">
        <f aca="true" t="shared" si="3" ref="K26:K33">+CEILING(IF($K$24&lt;=G26,F26*0.3,0),0.05)</f>
        <v>2.6500000000000004</v>
      </c>
      <c r="L26" s="26">
        <f aca="true" t="shared" si="4" ref="L26:L33">+CEILING(IF($L$24&lt;=G26,F26*0.3,0),0.05)</f>
        <v>2.6500000000000004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32" t="s">
        <v>138</v>
      </c>
      <c r="C27" s="44" t="s">
        <v>50</v>
      </c>
      <c r="D27" s="17" t="s">
        <v>64</v>
      </c>
      <c r="E27" s="23">
        <v>2015</v>
      </c>
      <c r="F27" s="24">
        <v>7.7</v>
      </c>
      <c r="G27" s="25">
        <v>2017</v>
      </c>
      <c r="I27" s="26">
        <f t="shared" si="1"/>
        <v>2.35</v>
      </c>
      <c r="J27" s="26">
        <f t="shared" si="2"/>
        <v>2.35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32" t="s">
        <v>117</v>
      </c>
      <c r="C28" s="44" t="s">
        <v>45</v>
      </c>
      <c r="D28" s="44" t="s">
        <v>43</v>
      </c>
      <c r="E28" s="23">
        <v>2012</v>
      </c>
      <c r="F28" s="24">
        <v>12.25</v>
      </c>
      <c r="G28" s="25">
        <v>2016</v>
      </c>
      <c r="I28" s="26">
        <f t="shared" si="1"/>
        <v>3.7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32" t="s">
        <v>95</v>
      </c>
      <c r="C29" s="44" t="s">
        <v>50</v>
      </c>
      <c r="D29" s="17" t="s">
        <v>77</v>
      </c>
      <c r="E29" s="23">
        <v>2014</v>
      </c>
      <c r="F29" s="24">
        <v>5</v>
      </c>
      <c r="G29" s="25">
        <v>2016</v>
      </c>
      <c r="I29" s="26">
        <f t="shared" si="1"/>
        <v>1.5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22" t="s">
        <v>111</v>
      </c>
      <c r="C30" s="17" t="s">
        <v>55</v>
      </c>
      <c r="D30" s="17" t="s">
        <v>83</v>
      </c>
      <c r="E30" s="23">
        <v>2014</v>
      </c>
      <c r="F30" s="24">
        <v>4.5</v>
      </c>
      <c r="G30" s="25">
        <v>2016</v>
      </c>
      <c r="I30" s="26">
        <f t="shared" si="1"/>
        <v>1.35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32" t="s">
        <v>319</v>
      </c>
      <c r="C31" s="44" t="s">
        <v>55</v>
      </c>
      <c r="D31" s="44" t="s">
        <v>69</v>
      </c>
      <c r="E31" s="23">
        <v>2016</v>
      </c>
      <c r="F31" s="24">
        <v>3.4</v>
      </c>
      <c r="G31" s="25">
        <v>2016</v>
      </c>
      <c r="I31" s="26">
        <f t="shared" si="1"/>
        <v>3.4000000000000004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32" t="s">
        <v>355</v>
      </c>
      <c r="C32" s="17" t="s">
        <v>42</v>
      </c>
      <c r="D32" s="44" t="s">
        <v>58</v>
      </c>
      <c r="E32" s="23">
        <v>2016</v>
      </c>
      <c r="F32" s="24">
        <v>3.4</v>
      </c>
      <c r="G32" s="25">
        <v>2016</v>
      </c>
      <c r="I32" s="26">
        <f t="shared" si="1"/>
        <v>3.4000000000000004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31" t="s">
        <v>119</v>
      </c>
      <c r="C33" s="44" t="s">
        <v>42</v>
      </c>
      <c r="D33" s="44" t="s">
        <v>71</v>
      </c>
      <c r="E33" s="23">
        <v>2012</v>
      </c>
      <c r="F33" s="24">
        <v>2.85</v>
      </c>
      <c r="G33" s="25">
        <v>2016</v>
      </c>
      <c r="I33" s="26">
        <f t="shared" si="1"/>
        <v>0.9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32"/>
      <c r="C34" s="44"/>
      <c r="D34" s="44"/>
      <c r="E34" s="23"/>
      <c r="F34" s="24"/>
      <c r="G34" s="25"/>
      <c r="I34" s="26"/>
      <c r="J34" s="26"/>
      <c r="K34" s="26"/>
      <c r="L34" s="26"/>
      <c r="M34" s="26"/>
    </row>
    <row r="35" spans="1:13" ht="12.75">
      <c r="A35" s="21">
        <v>10</v>
      </c>
      <c r="B35" s="32"/>
      <c r="C35" s="44"/>
      <c r="D35" s="44"/>
      <c r="E35" s="23"/>
      <c r="F35" s="24"/>
      <c r="G35" s="25"/>
      <c r="I35" s="26"/>
      <c r="J35" s="26"/>
      <c r="K35" s="26"/>
      <c r="L35" s="26"/>
      <c r="M35" s="26"/>
    </row>
    <row r="36" spans="9:13" ht="7.5" customHeight="1">
      <c r="I36" s="22"/>
      <c r="J36" s="22"/>
      <c r="K36" s="22"/>
      <c r="L36" s="22"/>
      <c r="M36" s="22"/>
    </row>
    <row r="37" spans="9:13" ht="12.75">
      <c r="I37" s="28">
        <f>+SUM(I26:I36)</f>
        <v>19.25</v>
      </c>
      <c r="J37" s="28">
        <f>+SUM(J26:J36)</f>
        <v>5</v>
      </c>
      <c r="K37" s="28">
        <f>+SUM(K26:K36)</f>
        <v>2.6500000000000004</v>
      </c>
      <c r="L37" s="28">
        <f>+SUM(L26:L36)</f>
        <v>2.6500000000000004</v>
      </c>
      <c r="M37" s="28">
        <f>+SUM(M26:M36)</f>
        <v>0</v>
      </c>
    </row>
    <row r="38" spans="9:13" ht="12.75">
      <c r="I38" s="29"/>
      <c r="J38" s="29"/>
      <c r="K38" s="29"/>
      <c r="L38" s="29"/>
      <c r="M38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Court&amp;R&amp;"Copperplate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38</v>
      </c>
      <c r="C3" s="19" t="s">
        <v>39</v>
      </c>
      <c r="D3" s="19" t="s">
        <v>1</v>
      </c>
      <c r="E3" s="19" t="s">
        <v>40</v>
      </c>
      <c r="F3" s="19" t="s">
        <v>9</v>
      </c>
      <c r="G3" s="19" t="s">
        <v>41</v>
      </c>
      <c r="I3" s="20">
        <v>2016</v>
      </c>
      <c r="J3" s="20">
        <v>2017</v>
      </c>
      <c r="K3" s="20">
        <v>2018</v>
      </c>
      <c r="L3" s="20">
        <v>2019</v>
      </c>
      <c r="M3" s="20">
        <v>2020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285</v>
      </c>
      <c r="C5" s="44" t="s">
        <v>42</v>
      </c>
      <c r="D5" s="44" t="s">
        <v>77</v>
      </c>
      <c r="E5" s="43" t="s">
        <v>271</v>
      </c>
      <c r="F5" s="24">
        <v>3.4</v>
      </c>
      <c r="G5" s="69">
        <v>2020</v>
      </c>
      <c r="I5" s="26">
        <f aca="true" t="shared" si="0" ref="I5:M18">+IF($G5&gt;=I$3,$F5,0)</f>
        <v>3.4</v>
      </c>
      <c r="J5" s="26">
        <f t="shared" si="0"/>
        <v>3.4</v>
      </c>
      <c r="K5" s="26">
        <f t="shared" si="0"/>
        <v>3.4</v>
      </c>
      <c r="L5" s="26">
        <f t="shared" si="0"/>
        <v>3.4</v>
      </c>
      <c r="M5" s="26">
        <f t="shared" si="0"/>
        <v>3.4</v>
      </c>
    </row>
    <row r="6" spans="1:13" ht="12.75">
      <c r="A6" s="21">
        <v>2</v>
      </c>
      <c r="B6" s="32" t="s">
        <v>223</v>
      </c>
      <c r="C6" s="17" t="s">
        <v>61</v>
      </c>
      <c r="D6" s="17" t="s">
        <v>79</v>
      </c>
      <c r="E6" s="23" t="s">
        <v>221</v>
      </c>
      <c r="F6" s="24">
        <v>12</v>
      </c>
      <c r="G6" s="69">
        <v>2019</v>
      </c>
      <c r="I6" s="26">
        <f t="shared" si="0"/>
        <v>12</v>
      </c>
      <c r="J6" s="26">
        <f t="shared" si="0"/>
        <v>12</v>
      </c>
      <c r="K6" s="26">
        <f t="shared" si="0"/>
        <v>12</v>
      </c>
      <c r="L6" s="26">
        <f t="shared" si="0"/>
        <v>12</v>
      </c>
      <c r="M6" s="26">
        <f t="shared" si="0"/>
        <v>0</v>
      </c>
    </row>
    <row r="7" spans="1:13" ht="12.75">
      <c r="A7" s="21">
        <v>3</v>
      </c>
      <c r="B7" s="32" t="s">
        <v>224</v>
      </c>
      <c r="C7" s="44" t="s">
        <v>48</v>
      </c>
      <c r="D7" s="44" t="s">
        <v>51</v>
      </c>
      <c r="E7" s="43" t="s">
        <v>221</v>
      </c>
      <c r="F7" s="24">
        <v>3.2</v>
      </c>
      <c r="G7" s="25">
        <v>2019</v>
      </c>
      <c r="I7" s="26">
        <f t="shared" si="0"/>
        <v>3.2</v>
      </c>
      <c r="J7" s="26">
        <f t="shared" si="0"/>
        <v>3.2</v>
      </c>
      <c r="K7" s="26">
        <f t="shared" si="0"/>
        <v>3.2</v>
      </c>
      <c r="L7" s="26">
        <f t="shared" si="0"/>
        <v>3.2</v>
      </c>
      <c r="M7" s="26">
        <f t="shared" si="0"/>
        <v>0</v>
      </c>
    </row>
    <row r="8" spans="1:13" ht="12.75">
      <c r="A8" s="21">
        <v>4</v>
      </c>
      <c r="B8" s="32" t="s">
        <v>150</v>
      </c>
      <c r="C8" s="44" t="s">
        <v>42</v>
      </c>
      <c r="D8" s="44" t="s">
        <v>65</v>
      </c>
      <c r="E8" s="23" t="s">
        <v>297</v>
      </c>
      <c r="F8" s="24">
        <v>11.85</v>
      </c>
      <c r="G8" s="25">
        <v>2018</v>
      </c>
      <c r="I8" s="26">
        <f t="shared" si="0"/>
        <v>11.85</v>
      </c>
      <c r="J8" s="26">
        <f t="shared" si="0"/>
        <v>11.85</v>
      </c>
      <c r="K8" s="26">
        <f t="shared" si="0"/>
        <v>11.85</v>
      </c>
      <c r="L8" s="26">
        <f t="shared" si="0"/>
        <v>0</v>
      </c>
      <c r="M8" s="26">
        <f t="shared" si="0"/>
        <v>0</v>
      </c>
    </row>
    <row r="9" spans="1:13" ht="12.75">
      <c r="A9" s="21">
        <v>5</v>
      </c>
      <c r="B9" s="32" t="s">
        <v>309</v>
      </c>
      <c r="C9" s="44" t="s">
        <v>55</v>
      </c>
      <c r="D9" s="44" t="s">
        <v>43</v>
      </c>
      <c r="E9" s="23" t="s">
        <v>297</v>
      </c>
      <c r="F9" s="24">
        <v>9.25</v>
      </c>
      <c r="G9" s="25">
        <v>2018</v>
      </c>
      <c r="I9" s="26">
        <f t="shared" si="0"/>
        <v>9.25</v>
      </c>
      <c r="J9" s="26">
        <f t="shared" si="0"/>
        <v>9.25</v>
      </c>
      <c r="K9" s="26">
        <f t="shared" si="0"/>
        <v>9.25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22" t="s">
        <v>172</v>
      </c>
      <c r="C10" s="17" t="s">
        <v>48</v>
      </c>
      <c r="D10" s="17" t="s">
        <v>80</v>
      </c>
      <c r="E10" s="23" t="s">
        <v>168</v>
      </c>
      <c r="F10" s="24">
        <v>9</v>
      </c>
      <c r="G10" s="69">
        <v>2018</v>
      </c>
      <c r="I10" s="26">
        <f t="shared" si="0"/>
        <v>9</v>
      </c>
      <c r="J10" s="26">
        <f t="shared" si="0"/>
        <v>9</v>
      </c>
      <c r="K10" s="26">
        <f t="shared" si="0"/>
        <v>9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330</v>
      </c>
      <c r="C11" s="44" t="s">
        <v>42</v>
      </c>
      <c r="D11" s="44" t="s">
        <v>52</v>
      </c>
      <c r="E11" s="43" t="s">
        <v>297</v>
      </c>
      <c r="F11" s="24">
        <v>3.4</v>
      </c>
      <c r="G11" s="25">
        <v>2018</v>
      </c>
      <c r="I11" s="26">
        <f t="shared" si="0"/>
        <v>3.4</v>
      </c>
      <c r="J11" s="26">
        <f t="shared" si="0"/>
        <v>3.4</v>
      </c>
      <c r="K11" s="26">
        <f t="shared" si="0"/>
        <v>3.4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303</v>
      </c>
      <c r="C12" s="44" t="s">
        <v>61</v>
      </c>
      <c r="D12" s="17" t="s">
        <v>83</v>
      </c>
      <c r="E12" s="23" t="s">
        <v>297</v>
      </c>
      <c r="F12" s="24">
        <v>13.5</v>
      </c>
      <c r="G12" s="25">
        <v>2016</v>
      </c>
      <c r="I12" s="26">
        <f t="shared" si="0"/>
        <v>13.5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302</v>
      </c>
      <c r="C13" s="17" t="s">
        <v>66</v>
      </c>
      <c r="D13" s="44" t="s">
        <v>46</v>
      </c>
      <c r="E13" s="23" t="s">
        <v>297</v>
      </c>
      <c r="F13" s="24">
        <v>9.2</v>
      </c>
      <c r="G13" s="25">
        <v>2016</v>
      </c>
      <c r="I13" s="26">
        <f t="shared" si="0"/>
        <v>9.2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107</v>
      </c>
      <c r="C14" s="44" t="s">
        <v>42</v>
      </c>
      <c r="D14" s="44" t="s">
        <v>46</v>
      </c>
      <c r="E14" s="43" t="s">
        <v>200</v>
      </c>
      <c r="F14" s="24">
        <v>6.4</v>
      </c>
      <c r="G14" s="25">
        <v>2016</v>
      </c>
      <c r="I14" s="26">
        <f t="shared" si="0"/>
        <v>6.4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308</v>
      </c>
      <c r="C15" s="44" t="s">
        <v>45</v>
      </c>
      <c r="D15" s="44" t="s">
        <v>56</v>
      </c>
      <c r="E15" s="23" t="s">
        <v>297</v>
      </c>
      <c r="F15" s="24">
        <v>5.5</v>
      </c>
      <c r="G15" s="70">
        <v>2016</v>
      </c>
      <c r="I15" s="26">
        <f t="shared" si="0"/>
        <v>5.5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346</v>
      </c>
      <c r="C16" s="44" t="s">
        <v>45</v>
      </c>
      <c r="D16" s="44" t="s">
        <v>143</v>
      </c>
      <c r="E16" s="43" t="s">
        <v>336</v>
      </c>
      <c r="F16" s="24">
        <v>3.4</v>
      </c>
      <c r="G16" s="69">
        <v>2016</v>
      </c>
      <c r="I16" s="26">
        <f t="shared" si="0"/>
        <v>3.4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347</v>
      </c>
      <c r="C17" s="17" t="s">
        <v>50</v>
      </c>
      <c r="D17" s="17" t="s">
        <v>46</v>
      </c>
      <c r="E17" s="23" t="s">
        <v>297</v>
      </c>
      <c r="F17" s="24">
        <v>3.4</v>
      </c>
      <c r="G17" s="25">
        <v>2016</v>
      </c>
      <c r="I17" s="26">
        <f t="shared" si="0"/>
        <v>3.4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110</v>
      </c>
      <c r="C18" s="44" t="s">
        <v>66</v>
      </c>
      <c r="D18" s="44" t="s">
        <v>67</v>
      </c>
      <c r="E18" s="43" t="s">
        <v>200</v>
      </c>
      <c r="F18" s="24">
        <v>2.6</v>
      </c>
      <c r="G18" s="25">
        <v>2016</v>
      </c>
      <c r="I18" s="26">
        <f t="shared" si="0"/>
        <v>2.6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22"/>
      <c r="D20" s="17"/>
      <c r="E20" s="23"/>
      <c r="F20" s="24"/>
      <c r="G20" s="25"/>
      <c r="I20" s="28">
        <f>+SUM(I5:I18)</f>
        <v>96.10000000000001</v>
      </c>
      <c r="J20" s="28">
        <f>+SUM(J5:J18)</f>
        <v>52.1</v>
      </c>
      <c r="K20" s="28">
        <f>+SUM(K5:K18)</f>
        <v>52.1</v>
      </c>
      <c r="L20" s="28">
        <f>+SUM(L5:L18)</f>
        <v>18.6</v>
      </c>
      <c r="M20" s="28">
        <f>+SUM(M5:M18)</f>
        <v>3.4</v>
      </c>
    </row>
    <row r="22" spans="1:13" ht="15.75">
      <c r="A22" s="103" t="s">
        <v>59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38</v>
      </c>
      <c r="C24" s="19" t="s">
        <v>39</v>
      </c>
      <c r="D24" s="19" t="s">
        <v>1</v>
      </c>
      <c r="E24" s="19" t="s">
        <v>60</v>
      </c>
      <c r="F24" s="19" t="s">
        <v>9</v>
      </c>
      <c r="G24" s="19" t="s">
        <v>41</v>
      </c>
      <c r="I24" s="20">
        <f>+I$3</f>
        <v>2016</v>
      </c>
      <c r="J24" s="20">
        <f>+J$3</f>
        <v>2017</v>
      </c>
      <c r="K24" s="20">
        <f>+K$3</f>
        <v>2018</v>
      </c>
      <c r="L24" s="20">
        <f>+L$3</f>
        <v>2019</v>
      </c>
      <c r="M24" s="20">
        <f>+M$3</f>
        <v>2020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307</v>
      </c>
      <c r="C26" s="17" t="s">
        <v>55</v>
      </c>
      <c r="D26" s="17" t="s">
        <v>58</v>
      </c>
      <c r="E26" s="23">
        <v>2016</v>
      </c>
      <c r="F26" s="24">
        <v>6.55</v>
      </c>
      <c r="G26" s="25">
        <v>2018</v>
      </c>
      <c r="I26" s="26">
        <f aca="true" t="shared" si="1" ref="I26:I33">+CEILING(IF($I$24=E26,F26,IF($I$24&lt;=G26,F26*0.3,0)),0.05)</f>
        <v>6.550000000000001</v>
      </c>
      <c r="J26" s="26">
        <f aca="true" t="shared" si="2" ref="J26:J33">+CEILING(IF($J$24&lt;=G26,F26*0.3,0),0.05)</f>
        <v>2</v>
      </c>
      <c r="K26" s="26">
        <f aca="true" t="shared" si="3" ref="K26:K33">+CEILING(IF($K$24&lt;=G26,F26*0.3,0),0.05)</f>
        <v>2</v>
      </c>
      <c r="L26" s="26">
        <f aca="true" t="shared" si="4" ref="L26:L33">+CEILING(IF($L$24&lt;=G26,F26*0.3,0),0.05)</f>
        <v>0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32" t="s">
        <v>198</v>
      </c>
      <c r="C27" s="44" t="s">
        <v>53</v>
      </c>
      <c r="D27" s="44" t="s">
        <v>79</v>
      </c>
      <c r="E27" s="43">
        <v>2016</v>
      </c>
      <c r="F27" s="24">
        <v>3</v>
      </c>
      <c r="G27" s="69">
        <v>2018</v>
      </c>
      <c r="I27" s="26">
        <f t="shared" si="1"/>
        <v>3</v>
      </c>
      <c r="J27" s="26">
        <f t="shared" si="2"/>
        <v>0.9</v>
      </c>
      <c r="K27" s="26">
        <f t="shared" si="3"/>
        <v>0.9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22" t="s">
        <v>152</v>
      </c>
      <c r="C28" s="17" t="s">
        <v>55</v>
      </c>
      <c r="D28" s="17" t="s">
        <v>71</v>
      </c>
      <c r="E28" s="23">
        <v>2016</v>
      </c>
      <c r="F28" s="24">
        <v>11.7</v>
      </c>
      <c r="G28" s="25">
        <v>2017</v>
      </c>
      <c r="I28" s="26">
        <f t="shared" si="1"/>
        <v>11.700000000000001</v>
      </c>
      <c r="J28" s="26">
        <f t="shared" si="2"/>
        <v>3.5500000000000003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22" t="s">
        <v>134</v>
      </c>
      <c r="C29" s="17" t="s">
        <v>50</v>
      </c>
      <c r="D29" s="17" t="s">
        <v>51</v>
      </c>
      <c r="E29" s="23">
        <v>2016</v>
      </c>
      <c r="F29" s="24">
        <v>11.2</v>
      </c>
      <c r="G29" s="25">
        <v>2017</v>
      </c>
      <c r="I29" s="26">
        <f t="shared" si="1"/>
        <v>11.200000000000001</v>
      </c>
      <c r="J29" s="26">
        <f t="shared" si="2"/>
        <v>3.4000000000000004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22" t="s">
        <v>103</v>
      </c>
      <c r="C30" s="17" t="s">
        <v>48</v>
      </c>
      <c r="D30" s="17" t="s">
        <v>69</v>
      </c>
      <c r="E30" s="23">
        <v>2015</v>
      </c>
      <c r="F30" s="24">
        <v>8.35</v>
      </c>
      <c r="G30" s="25">
        <v>2016</v>
      </c>
      <c r="I30" s="26">
        <f t="shared" si="1"/>
        <v>2.5500000000000003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 t="s">
        <v>104</v>
      </c>
      <c r="C31" s="17" t="s">
        <v>45</v>
      </c>
      <c r="D31" s="17" t="s">
        <v>47</v>
      </c>
      <c r="E31" s="23">
        <v>2013</v>
      </c>
      <c r="F31" s="24">
        <v>2.6</v>
      </c>
      <c r="G31" s="25">
        <v>2016</v>
      </c>
      <c r="I31" s="26">
        <f t="shared" si="1"/>
        <v>0.8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32" t="s">
        <v>118</v>
      </c>
      <c r="C32" s="44" t="s">
        <v>42</v>
      </c>
      <c r="D32" s="44" t="s">
        <v>70</v>
      </c>
      <c r="E32" s="23">
        <v>2015</v>
      </c>
      <c r="F32" s="24">
        <v>2.6</v>
      </c>
      <c r="G32" s="70">
        <v>2016</v>
      </c>
      <c r="I32" s="26">
        <f t="shared" si="1"/>
        <v>0.8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9:13" ht="7.5" customHeight="1">
      <c r="I34" s="22"/>
      <c r="J34" s="22"/>
      <c r="K34" s="22"/>
      <c r="L34" s="22"/>
      <c r="M34" s="22"/>
    </row>
    <row r="35" spans="9:13" ht="12.75">
      <c r="I35" s="28">
        <f>+SUM(I26:I34)</f>
        <v>36.599999999999994</v>
      </c>
      <c r="J35" s="28">
        <f>+SUM(J26:J34)</f>
        <v>9.850000000000001</v>
      </c>
      <c r="K35" s="28">
        <f>+SUM(K26:K34)</f>
        <v>2.9</v>
      </c>
      <c r="L35" s="28">
        <f>+SUM(L26:L34)</f>
        <v>0</v>
      </c>
      <c r="M35" s="28">
        <f>+SUM(M26:M34)</f>
        <v>0</v>
      </c>
    </row>
    <row r="36" spans="9:13" ht="12.75">
      <c r="I36" s="29"/>
      <c r="J36" s="29"/>
      <c r="K36" s="29"/>
      <c r="L36" s="29"/>
      <c r="M36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Light,Bold"&amp;14Hyrum Hunt&amp;R&amp;"Copperplate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38</v>
      </c>
      <c r="C3" s="19" t="s">
        <v>39</v>
      </c>
      <c r="D3" s="19" t="s">
        <v>1</v>
      </c>
      <c r="E3" s="19" t="s">
        <v>40</v>
      </c>
      <c r="F3" s="19" t="s">
        <v>9</v>
      </c>
      <c r="G3" s="19" t="s">
        <v>41</v>
      </c>
      <c r="I3" s="20">
        <v>2016</v>
      </c>
      <c r="J3" s="20">
        <v>2017</v>
      </c>
      <c r="K3" s="20">
        <v>2018</v>
      </c>
      <c r="L3" s="20">
        <v>2019</v>
      </c>
      <c r="M3" s="20">
        <v>2020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274</v>
      </c>
      <c r="C5" s="44" t="s">
        <v>57</v>
      </c>
      <c r="D5" s="44" t="s">
        <v>58</v>
      </c>
      <c r="E5" s="23" t="s">
        <v>271</v>
      </c>
      <c r="F5" s="24">
        <v>10.2</v>
      </c>
      <c r="G5" s="25">
        <v>2020</v>
      </c>
      <c r="I5" s="26">
        <f aca="true" t="shared" si="0" ref="I5:M18">+IF($G5&gt;=I$3,$F5,0)</f>
        <v>10.2</v>
      </c>
      <c r="J5" s="26">
        <f t="shared" si="0"/>
        <v>10.2</v>
      </c>
      <c r="K5" s="26">
        <f t="shared" si="0"/>
        <v>10.2</v>
      </c>
      <c r="L5" s="26">
        <f t="shared" si="0"/>
        <v>10.2</v>
      </c>
      <c r="M5" s="26">
        <f t="shared" si="0"/>
        <v>10.2</v>
      </c>
    </row>
    <row r="6" spans="1:13" ht="12.75">
      <c r="A6" s="21">
        <v>2</v>
      </c>
      <c r="B6" s="32" t="s">
        <v>255</v>
      </c>
      <c r="C6" s="44" t="s">
        <v>50</v>
      </c>
      <c r="D6" s="44" t="s">
        <v>68</v>
      </c>
      <c r="E6" s="43" t="s">
        <v>242</v>
      </c>
      <c r="F6" s="24">
        <v>17.55</v>
      </c>
      <c r="G6" s="25">
        <v>2019</v>
      </c>
      <c r="I6" s="26">
        <f t="shared" si="0"/>
        <v>17.55</v>
      </c>
      <c r="J6" s="26">
        <f t="shared" si="0"/>
        <v>17.55</v>
      </c>
      <c r="K6" s="26">
        <f t="shared" si="0"/>
        <v>17.55</v>
      </c>
      <c r="L6" s="26">
        <f t="shared" si="0"/>
        <v>17.55</v>
      </c>
      <c r="M6" s="26">
        <f t="shared" si="0"/>
        <v>0</v>
      </c>
    </row>
    <row r="7" spans="1:13" ht="12.75">
      <c r="A7" s="21">
        <v>3</v>
      </c>
      <c r="B7" s="32" t="s">
        <v>240</v>
      </c>
      <c r="C7" s="17" t="s">
        <v>61</v>
      </c>
      <c r="D7" s="17" t="s">
        <v>72</v>
      </c>
      <c r="E7" s="43" t="s">
        <v>221</v>
      </c>
      <c r="F7" s="24">
        <v>3.2</v>
      </c>
      <c r="G7" s="25">
        <v>2019</v>
      </c>
      <c r="I7" s="26">
        <f t="shared" si="0"/>
        <v>3.2</v>
      </c>
      <c r="J7" s="26">
        <f t="shared" si="0"/>
        <v>3.2</v>
      </c>
      <c r="K7" s="26">
        <f t="shared" si="0"/>
        <v>3.2</v>
      </c>
      <c r="L7" s="26">
        <f t="shared" si="0"/>
        <v>3.2</v>
      </c>
      <c r="M7" s="26">
        <f t="shared" si="0"/>
        <v>0</v>
      </c>
    </row>
    <row r="8" spans="1:13" ht="12.75">
      <c r="A8" s="21">
        <v>4</v>
      </c>
      <c r="B8" s="32" t="s">
        <v>169</v>
      </c>
      <c r="C8" s="17" t="s">
        <v>55</v>
      </c>
      <c r="D8" s="17" t="s">
        <v>47</v>
      </c>
      <c r="E8" s="23" t="s">
        <v>168</v>
      </c>
      <c r="F8" s="26">
        <v>11.25</v>
      </c>
      <c r="G8" s="23">
        <v>2018</v>
      </c>
      <c r="I8" s="26">
        <f t="shared" si="0"/>
        <v>11.25</v>
      </c>
      <c r="J8" s="26">
        <f t="shared" si="0"/>
        <v>11.25</v>
      </c>
      <c r="K8" s="26">
        <f t="shared" si="0"/>
        <v>11.25</v>
      </c>
      <c r="L8" s="26">
        <f t="shared" si="0"/>
        <v>0</v>
      </c>
      <c r="M8" s="26">
        <f t="shared" si="0"/>
        <v>0</v>
      </c>
    </row>
    <row r="9" spans="1:13" ht="12.75">
      <c r="A9" s="21">
        <v>5</v>
      </c>
      <c r="B9" s="32" t="s">
        <v>171</v>
      </c>
      <c r="C9" s="44" t="s">
        <v>50</v>
      </c>
      <c r="D9" s="17" t="s">
        <v>71</v>
      </c>
      <c r="E9" s="23" t="s">
        <v>168</v>
      </c>
      <c r="F9" s="24">
        <v>9.75</v>
      </c>
      <c r="G9" s="25">
        <v>2018</v>
      </c>
      <c r="I9" s="26">
        <f t="shared" si="0"/>
        <v>9.75</v>
      </c>
      <c r="J9" s="26">
        <f t="shared" si="0"/>
        <v>9.75</v>
      </c>
      <c r="K9" s="26">
        <f t="shared" si="0"/>
        <v>9.75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22" t="s">
        <v>193</v>
      </c>
      <c r="C10" s="44" t="s">
        <v>53</v>
      </c>
      <c r="D10" s="46" t="s">
        <v>56</v>
      </c>
      <c r="E10" s="23" t="s">
        <v>168</v>
      </c>
      <c r="F10" s="24">
        <v>4.5</v>
      </c>
      <c r="G10" s="25">
        <v>2018</v>
      </c>
      <c r="I10" s="26">
        <f t="shared" si="0"/>
        <v>4.5</v>
      </c>
      <c r="J10" s="26">
        <f t="shared" si="0"/>
        <v>4.5</v>
      </c>
      <c r="K10" s="26">
        <f t="shared" si="0"/>
        <v>4.5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195</v>
      </c>
      <c r="C11" s="44" t="s">
        <v>53</v>
      </c>
      <c r="D11" s="44" t="s">
        <v>76</v>
      </c>
      <c r="E11" s="23" t="s">
        <v>168</v>
      </c>
      <c r="F11" s="24">
        <v>3.4</v>
      </c>
      <c r="G11" s="25">
        <v>2018</v>
      </c>
      <c r="I11" s="26">
        <f t="shared" si="0"/>
        <v>3.4</v>
      </c>
      <c r="J11" s="26">
        <f t="shared" si="0"/>
        <v>3.4</v>
      </c>
      <c r="K11" s="26">
        <f t="shared" si="0"/>
        <v>3.4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191</v>
      </c>
      <c r="C12" s="17" t="s">
        <v>66</v>
      </c>
      <c r="D12" s="17" t="s">
        <v>56</v>
      </c>
      <c r="E12" s="23" t="s">
        <v>168</v>
      </c>
      <c r="F12" s="24">
        <v>3</v>
      </c>
      <c r="G12" s="25">
        <v>2018</v>
      </c>
      <c r="I12" s="26">
        <f t="shared" si="0"/>
        <v>3</v>
      </c>
      <c r="J12" s="26">
        <f t="shared" si="0"/>
        <v>3</v>
      </c>
      <c r="K12" s="26">
        <f t="shared" si="0"/>
        <v>3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245</v>
      </c>
      <c r="C13" s="17" t="s">
        <v>45</v>
      </c>
      <c r="D13" s="44" t="s">
        <v>49</v>
      </c>
      <c r="E13" s="23" t="s">
        <v>242</v>
      </c>
      <c r="F13" s="24">
        <v>18</v>
      </c>
      <c r="G13" s="25">
        <v>2017</v>
      </c>
      <c r="I13" s="26">
        <f t="shared" si="0"/>
        <v>18</v>
      </c>
      <c r="J13" s="26">
        <f t="shared" si="0"/>
        <v>18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145</v>
      </c>
      <c r="C14" s="17" t="s">
        <v>42</v>
      </c>
      <c r="D14" s="17" t="s">
        <v>79</v>
      </c>
      <c r="E14" s="43" t="s">
        <v>199</v>
      </c>
      <c r="F14" s="24">
        <v>3.15</v>
      </c>
      <c r="G14" s="25">
        <v>2017</v>
      </c>
      <c r="I14" s="26">
        <f t="shared" si="0"/>
        <v>3.15</v>
      </c>
      <c r="J14" s="26">
        <f t="shared" si="0"/>
        <v>3.15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146</v>
      </c>
      <c r="C15" s="44" t="s">
        <v>45</v>
      </c>
      <c r="D15" s="44" t="s">
        <v>69</v>
      </c>
      <c r="E15" s="43" t="s">
        <v>199</v>
      </c>
      <c r="F15" s="24">
        <v>2.8</v>
      </c>
      <c r="G15" s="25">
        <v>2017</v>
      </c>
      <c r="I15" s="26">
        <f t="shared" si="0"/>
        <v>2.8</v>
      </c>
      <c r="J15" s="26">
        <f t="shared" si="0"/>
        <v>2.8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22" t="s">
        <v>176</v>
      </c>
      <c r="C16" s="17" t="s">
        <v>42</v>
      </c>
      <c r="D16" s="44" t="s">
        <v>68</v>
      </c>
      <c r="E16" s="23" t="s">
        <v>163</v>
      </c>
      <c r="F16" s="24">
        <v>36.5</v>
      </c>
      <c r="G16" s="25">
        <v>2016</v>
      </c>
      <c r="I16" s="26">
        <f t="shared" si="0"/>
        <v>36.5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348</v>
      </c>
      <c r="C17" s="44" t="s">
        <v>61</v>
      </c>
      <c r="D17" s="44" t="s">
        <v>56</v>
      </c>
      <c r="E17" s="23" t="s">
        <v>336</v>
      </c>
      <c r="F17" s="24">
        <v>3.4</v>
      </c>
      <c r="G17" s="25">
        <v>2016</v>
      </c>
      <c r="I17" s="26">
        <f t="shared" si="0"/>
        <v>3.4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349</v>
      </c>
      <c r="C18" s="17" t="s">
        <v>57</v>
      </c>
      <c r="D18" s="17" t="s">
        <v>68</v>
      </c>
      <c r="E18" s="43" t="s">
        <v>336</v>
      </c>
      <c r="F18" s="24">
        <v>3.4</v>
      </c>
      <c r="G18" s="25">
        <v>2016</v>
      </c>
      <c r="I18" s="26">
        <f t="shared" si="0"/>
        <v>3.4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22"/>
      <c r="D20" s="17"/>
      <c r="E20" s="23"/>
      <c r="F20" s="24"/>
      <c r="G20" s="25"/>
      <c r="I20" s="28">
        <f>+SUM(I5:I18)</f>
        <v>130.1</v>
      </c>
      <c r="J20" s="28">
        <f>+SUM(J5:J18)</f>
        <v>86.8</v>
      </c>
      <c r="K20" s="28">
        <f>+SUM(K5:K18)</f>
        <v>62.85</v>
      </c>
      <c r="L20" s="28">
        <f>+SUM(L5:L18)</f>
        <v>30.95</v>
      </c>
      <c r="M20" s="28">
        <f>+SUM(M5:M18)</f>
        <v>10.2</v>
      </c>
    </row>
    <row r="22" spans="1:13" ht="15.75">
      <c r="A22" s="103" t="s">
        <v>59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38</v>
      </c>
      <c r="C24" s="19" t="s">
        <v>39</v>
      </c>
      <c r="D24" s="19" t="s">
        <v>1</v>
      </c>
      <c r="E24" s="19" t="s">
        <v>60</v>
      </c>
      <c r="F24" s="19" t="s">
        <v>9</v>
      </c>
      <c r="G24" s="19" t="s">
        <v>41</v>
      </c>
      <c r="I24" s="20">
        <f>+I$3</f>
        <v>2016</v>
      </c>
      <c r="J24" s="20">
        <f>+J$3</f>
        <v>2017</v>
      </c>
      <c r="K24" s="20">
        <f>+K$3</f>
        <v>2018</v>
      </c>
      <c r="L24" s="20">
        <f>+L$3</f>
        <v>2019</v>
      </c>
      <c r="M24" s="20">
        <f>+M$3</f>
        <v>2020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194</v>
      </c>
      <c r="C26" s="44" t="s">
        <v>50</v>
      </c>
      <c r="D26" s="44" t="s">
        <v>80</v>
      </c>
      <c r="E26" s="23">
        <v>2015</v>
      </c>
      <c r="F26" s="24">
        <v>3.75</v>
      </c>
      <c r="G26" s="25">
        <v>2018</v>
      </c>
      <c r="I26" s="26">
        <f aca="true" t="shared" si="1" ref="I26:I33">+CEILING(IF($I$24=E26,F26,IF($I$24&lt;=G26,F26*0.3,0)),0.05)</f>
        <v>1.1500000000000001</v>
      </c>
      <c r="J26" s="26">
        <f aca="true" t="shared" si="2" ref="J26:J33">+CEILING(IF($J$24&lt;=G26,F26*0.3,0),0.05)</f>
        <v>1.1500000000000001</v>
      </c>
      <c r="K26" s="26">
        <f aca="true" t="shared" si="3" ref="K26:K33">+CEILING(IF($K$24&lt;=G26,F26*0.3,0),0.05)</f>
        <v>1.1500000000000001</v>
      </c>
      <c r="L26" s="26">
        <f aca="true" t="shared" si="4" ref="L26:L33">+CEILING(IF($L$24&lt;=G26,F26*0.3,0),0.05)</f>
        <v>0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32" t="s">
        <v>136</v>
      </c>
      <c r="C27" s="44" t="s">
        <v>66</v>
      </c>
      <c r="D27" s="44" t="s">
        <v>62</v>
      </c>
      <c r="E27" s="23">
        <v>2015</v>
      </c>
      <c r="F27" s="24">
        <v>9.1</v>
      </c>
      <c r="G27" s="25">
        <v>2017</v>
      </c>
      <c r="I27" s="26">
        <f t="shared" si="1"/>
        <v>2.75</v>
      </c>
      <c r="J27" s="26">
        <f t="shared" si="2"/>
        <v>2.75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32" t="s">
        <v>137</v>
      </c>
      <c r="C28" s="17" t="s">
        <v>42</v>
      </c>
      <c r="D28" s="17" t="s">
        <v>72</v>
      </c>
      <c r="E28" s="43">
        <v>2015</v>
      </c>
      <c r="F28" s="24">
        <v>8.4</v>
      </c>
      <c r="G28" s="25">
        <v>2017</v>
      </c>
      <c r="I28" s="26">
        <f t="shared" si="1"/>
        <v>2.5500000000000003</v>
      </c>
      <c r="J28" s="26">
        <f t="shared" si="2"/>
        <v>2.5500000000000003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22" t="s">
        <v>125</v>
      </c>
      <c r="C29" s="17" t="s">
        <v>57</v>
      </c>
      <c r="D29" s="17" t="s">
        <v>64</v>
      </c>
      <c r="E29" s="23">
        <v>2013</v>
      </c>
      <c r="F29" s="24">
        <v>7.45</v>
      </c>
      <c r="G29" s="25">
        <v>2017</v>
      </c>
      <c r="I29" s="26">
        <f t="shared" si="1"/>
        <v>2.25</v>
      </c>
      <c r="J29" s="26">
        <f t="shared" si="2"/>
        <v>2.25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32" t="s">
        <v>153</v>
      </c>
      <c r="C30" s="17" t="s">
        <v>42</v>
      </c>
      <c r="D30" s="44" t="s">
        <v>54</v>
      </c>
      <c r="E30" s="23">
        <v>2015</v>
      </c>
      <c r="F30" s="24">
        <v>2.8</v>
      </c>
      <c r="G30" s="25">
        <v>2017</v>
      </c>
      <c r="I30" s="26">
        <f t="shared" si="1"/>
        <v>0.8500000000000001</v>
      </c>
      <c r="J30" s="26">
        <f t="shared" si="2"/>
        <v>0.8500000000000001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32" t="s">
        <v>116</v>
      </c>
      <c r="C31" s="17" t="s">
        <v>50</v>
      </c>
      <c r="D31" s="17" t="s">
        <v>79</v>
      </c>
      <c r="E31" s="43">
        <v>2014</v>
      </c>
      <c r="F31" s="24">
        <v>2.6</v>
      </c>
      <c r="G31" s="25">
        <v>2016</v>
      </c>
      <c r="I31" s="26">
        <f t="shared" si="1"/>
        <v>0.8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32"/>
      <c r="D32" s="44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32"/>
      <c r="C33" s="44"/>
      <c r="D33" s="44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32"/>
      <c r="C34" s="44"/>
      <c r="D34" s="44"/>
      <c r="E34" s="23"/>
      <c r="F34" s="24"/>
      <c r="G34" s="25"/>
      <c r="I34" s="26">
        <f>+CEILING(IF($I$24=E34,F34,IF($I$24&lt;=G34,F34*0.3,0)),0.05)</f>
        <v>0</v>
      </c>
      <c r="J34" s="26">
        <f>+CEILING(IF($J$24&lt;=G34,F34*0.3,0),0.05)</f>
        <v>0</v>
      </c>
      <c r="K34" s="26">
        <f>+CEILING(IF($K$24&lt;=G34,F34*0.3,0),0.05)</f>
        <v>0</v>
      </c>
      <c r="L34" s="26">
        <f>+CEILING(IF($L$24&lt;=G34,F34*0.3,0),0.05)</f>
        <v>0</v>
      </c>
      <c r="M34" s="26">
        <f>CEILING(IF($M$24&lt;=G34,F34*0.3,0),0.05)</f>
        <v>0</v>
      </c>
    </row>
    <row r="35" spans="1:13" ht="12.75">
      <c r="A35" s="21">
        <v>10</v>
      </c>
      <c r="B35" s="32"/>
      <c r="C35" s="44"/>
      <c r="D35" s="44"/>
      <c r="E35" s="23"/>
      <c r="F35" s="24"/>
      <c r="G35" s="25"/>
      <c r="I35" s="26">
        <f>+CEILING(IF($I$24=E35,F35,IF($I$24&lt;=G35,F35*0.3,0)),0.05)</f>
        <v>0</v>
      </c>
      <c r="J35" s="26">
        <f>+CEILING(IF($J$24&lt;=G35,F35*0.3,0),0.05)</f>
        <v>0</v>
      </c>
      <c r="K35" s="26">
        <f>+CEILING(IF($K$24&lt;=G35,F35*0.3,0),0.05)</f>
        <v>0</v>
      </c>
      <c r="L35" s="26">
        <f>+CEILING(IF($L$24&lt;=G35,F35*0.3,0),0.05)</f>
        <v>0</v>
      </c>
      <c r="M35" s="26">
        <f>CEILING(IF($M$24&lt;=G35,F35*0.3,0),0.05)</f>
        <v>0</v>
      </c>
    </row>
    <row r="36" spans="9:13" ht="7.5" customHeight="1">
      <c r="I36" s="22"/>
      <c r="J36" s="22"/>
      <c r="K36" s="22"/>
      <c r="L36" s="22"/>
      <c r="M36" s="22"/>
    </row>
    <row r="37" spans="9:13" ht="12.75">
      <c r="I37" s="28">
        <f>+SUM(I26:I36)</f>
        <v>10.350000000000001</v>
      </c>
      <c r="J37" s="28">
        <f>+SUM(J26:J36)</f>
        <v>9.55</v>
      </c>
      <c r="K37" s="28">
        <f>+SUM(K26:K36)</f>
        <v>1.1500000000000001</v>
      </c>
      <c r="L37" s="28">
        <f>+SUM(L26:L36)</f>
        <v>0</v>
      </c>
      <c r="M37" s="28">
        <f>+SUM(M26:M36)</f>
        <v>0</v>
      </c>
    </row>
    <row r="38" spans="9:13" ht="12.75">
      <c r="I38" s="29"/>
      <c r="J38" s="29"/>
      <c r="K38" s="29"/>
      <c r="L38" s="29"/>
      <c r="M38" s="29"/>
    </row>
  </sheetData>
  <sheetProtection/>
  <mergeCells count="2">
    <mergeCell ref="A1:M1"/>
    <mergeCell ref="A22:M2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38</v>
      </c>
      <c r="C3" s="19" t="s">
        <v>39</v>
      </c>
      <c r="D3" s="19" t="s">
        <v>1</v>
      </c>
      <c r="E3" s="19" t="s">
        <v>40</v>
      </c>
      <c r="F3" s="19" t="s">
        <v>9</v>
      </c>
      <c r="G3" s="19" t="s">
        <v>41</v>
      </c>
      <c r="I3" s="20">
        <v>2016</v>
      </c>
      <c r="J3" s="20">
        <v>2017</v>
      </c>
      <c r="K3" s="20">
        <v>2018</v>
      </c>
      <c r="L3" s="20">
        <v>2019</v>
      </c>
      <c r="M3" s="20">
        <v>2020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273</v>
      </c>
      <c r="C5" s="17" t="s">
        <v>50</v>
      </c>
      <c r="D5" s="17" t="s">
        <v>47</v>
      </c>
      <c r="E5" s="23" t="s">
        <v>271</v>
      </c>
      <c r="F5" s="24">
        <v>11.05</v>
      </c>
      <c r="G5" s="25">
        <v>2020</v>
      </c>
      <c r="I5" s="26">
        <f aca="true" t="shared" si="0" ref="I5:M18">+IF($G5&gt;=I$3,$F5,0)</f>
        <v>11.05</v>
      </c>
      <c r="J5" s="26">
        <f t="shared" si="0"/>
        <v>11.05</v>
      </c>
      <c r="K5" s="26">
        <f t="shared" si="0"/>
        <v>11.05</v>
      </c>
      <c r="L5" s="26">
        <f t="shared" si="0"/>
        <v>11.05</v>
      </c>
      <c r="M5" s="26">
        <f t="shared" si="0"/>
        <v>11.05</v>
      </c>
    </row>
    <row r="6" spans="1:13" ht="12.75">
      <c r="A6" s="21">
        <v>2</v>
      </c>
      <c r="B6" s="32" t="s">
        <v>95</v>
      </c>
      <c r="C6" s="44" t="s">
        <v>45</v>
      </c>
      <c r="D6" s="44" t="s">
        <v>77</v>
      </c>
      <c r="E6" s="43" t="s">
        <v>297</v>
      </c>
      <c r="F6" s="24">
        <v>6.25</v>
      </c>
      <c r="G6" s="25">
        <v>2020</v>
      </c>
      <c r="I6" s="26">
        <f t="shared" si="0"/>
        <v>6.25</v>
      </c>
      <c r="J6" s="26">
        <f t="shared" si="0"/>
        <v>6.25</v>
      </c>
      <c r="K6" s="26">
        <f t="shared" si="0"/>
        <v>6.25</v>
      </c>
      <c r="L6" s="26">
        <f t="shared" si="0"/>
        <v>6.25</v>
      </c>
      <c r="M6" s="26">
        <f t="shared" si="0"/>
        <v>6.25</v>
      </c>
    </row>
    <row r="7" spans="1:13" ht="12.75">
      <c r="A7" s="21">
        <v>3</v>
      </c>
      <c r="B7" s="32" t="s">
        <v>288</v>
      </c>
      <c r="C7" s="44" t="s">
        <v>57</v>
      </c>
      <c r="D7" s="44" t="s">
        <v>67</v>
      </c>
      <c r="E7" s="23" t="s">
        <v>271</v>
      </c>
      <c r="F7" s="24">
        <v>3.4</v>
      </c>
      <c r="G7" s="25">
        <v>2020</v>
      </c>
      <c r="I7" s="26">
        <f t="shared" si="0"/>
        <v>3.4</v>
      </c>
      <c r="J7" s="26">
        <f t="shared" si="0"/>
        <v>3.4</v>
      </c>
      <c r="K7" s="26">
        <f t="shared" si="0"/>
        <v>3.4</v>
      </c>
      <c r="L7" s="26">
        <f t="shared" si="0"/>
        <v>3.4</v>
      </c>
      <c r="M7" s="26">
        <f t="shared" si="0"/>
        <v>3.4</v>
      </c>
    </row>
    <row r="8" spans="1:13" ht="12.75">
      <c r="A8" s="21">
        <v>4</v>
      </c>
      <c r="B8" s="32" t="s">
        <v>230</v>
      </c>
      <c r="C8" s="17" t="s">
        <v>50</v>
      </c>
      <c r="D8" s="17" t="s">
        <v>75</v>
      </c>
      <c r="E8" s="23" t="s">
        <v>221</v>
      </c>
      <c r="F8" s="24">
        <v>9.6</v>
      </c>
      <c r="G8" s="25">
        <v>2019</v>
      </c>
      <c r="I8" s="26">
        <f t="shared" si="0"/>
        <v>9.6</v>
      </c>
      <c r="J8" s="26">
        <f t="shared" si="0"/>
        <v>9.6</v>
      </c>
      <c r="K8" s="26">
        <f t="shared" si="0"/>
        <v>9.6</v>
      </c>
      <c r="L8" s="26">
        <f t="shared" si="0"/>
        <v>9.6</v>
      </c>
      <c r="M8" s="26">
        <f t="shared" si="0"/>
        <v>0</v>
      </c>
    </row>
    <row r="9" spans="1:13" ht="12.75">
      <c r="A9" s="21">
        <v>5</v>
      </c>
      <c r="B9" s="32" t="s">
        <v>231</v>
      </c>
      <c r="C9" s="17" t="s">
        <v>53</v>
      </c>
      <c r="D9" s="44" t="s">
        <v>73</v>
      </c>
      <c r="E9" s="23" t="s">
        <v>221</v>
      </c>
      <c r="F9" s="24">
        <v>3.2</v>
      </c>
      <c r="G9" s="25">
        <v>2019</v>
      </c>
      <c r="I9" s="26">
        <f t="shared" si="0"/>
        <v>3.2</v>
      </c>
      <c r="J9" s="26">
        <f t="shared" si="0"/>
        <v>3.2</v>
      </c>
      <c r="K9" s="26">
        <f t="shared" si="0"/>
        <v>3.2</v>
      </c>
      <c r="L9" s="26">
        <f t="shared" si="0"/>
        <v>3.2</v>
      </c>
      <c r="M9" s="26">
        <f t="shared" si="0"/>
        <v>0</v>
      </c>
    </row>
    <row r="10" spans="1:13" ht="12.75">
      <c r="A10" s="21">
        <v>6</v>
      </c>
      <c r="B10" s="22" t="s">
        <v>214</v>
      </c>
      <c r="C10" s="17" t="s">
        <v>48</v>
      </c>
      <c r="D10" s="17" t="s">
        <v>47</v>
      </c>
      <c r="E10" s="23" t="s">
        <v>168</v>
      </c>
      <c r="F10" s="24">
        <v>3</v>
      </c>
      <c r="G10" s="68">
        <v>2018</v>
      </c>
      <c r="I10" s="26">
        <f t="shared" si="0"/>
        <v>3</v>
      </c>
      <c r="J10" s="26">
        <f t="shared" si="0"/>
        <v>3</v>
      </c>
      <c r="K10" s="26">
        <f t="shared" si="0"/>
        <v>3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133</v>
      </c>
      <c r="C11" s="44" t="s">
        <v>42</v>
      </c>
      <c r="D11" s="44" t="s">
        <v>78</v>
      </c>
      <c r="E11" s="23" t="s">
        <v>44</v>
      </c>
      <c r="F11" s="24">
        <v>34.6</v>
      </c>
      <c r="G11" s="25">
        <v>2017</v>
      </c>
      <c r="I11" s="26">
        <f t="shared" si="0"/>
        <v>34.6</v>
      </c>
      <c r="J11" s="26">
        <f t="shared" si="0"/>
        <v>34.6</v>
      </c>
      <c r="K11" s="26">
        <f t="shared" si="0"/>
        <v>0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22" t="s">
        <v>140</v>
      </c>
      <c r="C12" s="17" t="s">
        <v>57</v>
      </c>
      <c r="D12" s="17" t="s">
        <v>46</v>
      </c>
      <c r="E12" s="23" t="s">
        <v>199</v>
      </c>
      <c r="F12" s="24">
        <v>6.3</v>
      </c>
      <c r="G12" s="25">
        <v>2017</v>
      </c>
      <c r="I12" s="26">
        <f t="shared" si="0"/>
        <v>6.3</v>
      </c>
      <c r="J12" s="26">
        <f t="shared" si="0"/>
        <v>6.3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164</v>
      </c>
      <c r="C13" s="17" t="s">
        <v>42</v>
      </c>
      <c r="D13" s="17" t="s">
        <v>73</v>
      </c>
      <c r="E13" s="23" t="s">
        <v>163</v>
      </c>
      <c r="F13" s="24">
        <v>15.75</v>
      </c>
      <c r="G13" s="25">
        <v>2016</v>
      </c>
      <c r="I13" s="26">
        <f t="shared" si="0"/>
        <v>15.75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22" t="s">
        <v>97</v>
      </c>
      <c r="C14" s="17" t="s">
        <v>42</v>
      </c>
      <c r="D14" s="44" t="s">
        <v>54</v>
      </c>
      <c r="E14" s="23" t="s">
        <v>200</v>
      </c>
      <c r="F14" s="24">
        <v>10.25</v>
      </c>
      <c r="G14" s="25">
        <v>2016</v>
      </c>
      <c r="I14" s="26">
        <f t="shared" si="0"/>
        <v>10.25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361</v>
      </c>
      <c r="C15" s="44" t="s">
        <v>45</v>
      </c>
      <c r="D15" s="44" t="s">
        <v>143</v>
      </c>
      <c r="E15" s="23" t="s">
        <v>336</v>
      </c>
      <c r="F15" s="24">
        <v>3.4</v>
      </c>
      <c r="G15" s="25">
        <v>2016</v>
      </c>
      <c r="I15" s="26">
        <f t="shared" si="0"/>
        <v>3.4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362</v>
      </c>
      <c r="C16" s="44" t="s">
        <v>45</v>
      </c>
      <c r="D16" s="44" t="s">
        <v>63</v>
      </c>
      <c r="E16" s="43" t="s">
        <v>336</v>
      </c>
      <c r="F16" s="24">
        <v>3.4</v>
      </c>
      <c r="G16" s="25">
        <v>2016</v>
      </c>
      <c r="I16" s="26">
        <f t="shared" si="0"/>
        <v>3.4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363</v>
      </c>
      <c r="C17" s="17" t="s">
        <v>42</v>
      </c>
      <c r="D17" s="44" t="s">
        <v>78</v>
      </c>
      <c r="E17" s="23" t="s">
        <v>336</v>
      </c>
      <c r="F17" s="24">
        <v>3.4</v>
      </c>
      <c r="G17" s="25">
        <v>2016</v>
      </c>
      <c r="I17" s="26">
        <f t="shared" si="0"/>
        <v>3.4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364</v>
      </c>
      <c r="C18" s="44" t="s">
        <v>45</v>
      </c>
      <c r="D18" s="44" t="s">
        <v>78</v>
      </c>
      <c r="E18" s="23" t="s">
        <v>336</v>
      </c>
      <c r="F18" s="24">
        <v>3.4</v>
      </c>
      <c r="G18" s="25">
        <v>2016</v>
      </c>
      <c r="I18" s="26">
        <f t="shared" si="0"/>
        <v>3.4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32"/>
      <c r="D20" s="17"/>
      <c r="E20" s="23"/>
      <c r="F20" s="24"/>
      <c r="G20" s="25"/>
      <c r="I20" s="28">
        <f>+SUM(I5:I18)</f>
        <v>117.00000000000001</v>
      </c>
      <c r="J20" s="28">
        <f>+SUM(J5:J18)</f>
        <v>77.39999999999999</v>
      </c>
      <c r="K20" s="28">
        <f>+SUM(K5:K18)</f>
        <v>36.5</v>
      </c>
      <c r="L20" s="28">
        <f>+SUM(L5:L18)</f>
        <v>33.5</v>
      </c>
      <c r="M20" s="28">
        <f>+SUM(M5:M18)</f>
        <v>20.7</v>
      </c>
    </row>
    <row r="22" spans="1:13" ht="15.75">
      <c r="A22" s="103" t="s">
        <v>59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38</v>
      </c>
      <c r="C24" s="19" t="s">
        <v>39</v>
      </c>
      <c r="D24" s="19" t="s">
        <v>1</v>
      </c>
      <c r="E24" s="19" t="s">
        <v>60</v>
      </c>
      <c r="F24" s="19" t="s">
        <v>9</v>
      </c>
      <c r="G24" s="19" t="s">
        <v>41</v>
      </c>
      <c r="I24" s="20">
        <f>+I$3</f>
        <v>2016</v>
      </c>
      <c r="J24" s="20">
        <f>+J$3</f>
        <v>2017</v>
      </c>
      <c r="K24" s="20">
        <f>+K$3</f>
        <v>2018</v>
      </c>
      <c r="L24" s="20">
        <f>+L$3</f>
        <v>2019</v>
      </c>
      <c r="M24" s="20">
        <f>+M$3</f>
        <v>2020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157</v>
      </c>
      <c r="C26" s="17" t="s">
        <v>61</v>
      </c>
      <c r="D26" s="17" t="s">
        <v>71</v>
      </c>
      <c r="E26" s="23">
        <v>2014</v>
      </c>
      <c r="F26" s="24">
        <v>2.8</v>
      </c>
      <c r="G26" s="25">
        <v>2017</v>
      </c>
      <c r="I26" s="26">
        <f aca="true" t="shared" si="1" ref="I26:I33">+CEILING(IF($I$24=E26,F26,IF($I$24&lt;=G26,F26*0.3,0)),0.05)</f>
        <v>0.8500000000000001</v>
      </c>
      <c r="J26" s="26">
        <f aca="true" t="shared" si="2" ref="J26:J33">+CEILING(IF($J$24&lt;=G26,F26*0.3,0),0.05)</f>
        <v>0.8500000000000001</v>
      </c>
      <c r="K26" s="26">
        <f aca="true" t="shared" si="3" ref="K26:K33">+CEILING(IF($K$24&lt;=G26,F26*0.3,0),0.05)</f>
        <v>0</v>
      </c>
      <c r="L26" s="26">
        <f aca="true" t="shared" si="4" ref="L26:L33">+CEILING(IF($L$24&lt;=G26,F26*0.3,0),0.05)</f>
        <v>0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42"/>
      <c r="C27" s="44"/>
      <c r="D27" s="44"/>
      <c r="E27" s="23"/>
      <c r="F27" s="24"/>
      <c r="G27" s="25"/>
      <c r="I27" s="26">
        <f t="shared" si="1"/>
        <v>0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32"/>
      <c r="D28" s="17"/>
      <c r="E28" s="23"/>
      <c r="F28" s="24"/>
      <c r="G28" s="25"/>
      <c r="I28" s="26">
        <f t="shared" si="1"/>
        <v>0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22"/>
      <c r="D29" s="17"/>
      <c r="E29" s="23"/>
      <c r="F29" s="24"/>
      <c r="G29" s="25"/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22"/>
      <c r="C30" s="44"/>
      <c r="D30" s="17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/>
      <c r="D31" s="44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9:13" ht="7.5" customHeight="1">
      <c r="I34" s="22"/>
      <c r="J34" s="22"/>
      <c r="K34" s="22"/>
      <c r="L34" s="22"/>
      <c r="M34" s="22"/>
    </row>
    <row r="35" spans="9:13" ht="12.75">
      <c r="I35" s="28">
        <f>+SUM(I26:I34)</f>
        <v>0.8500000000000001</v>
      </c>
      <c r="J35" s="28">
        <f>+SUM(J26:J34)</f>
        <v>0.8500000000000001</v>
      </c>
      <c r="K35" s="28">
        <f>+SUM(K26:K34)</f>
        <v>0</v>
      </c>
      <c r="L35" s="28">
        <f>+SUM(L26:L34)</f>
        <v>0</v>
      </c>
      <c r="M35" s="28">
        <f>+SUM(M26:M34)</f>
        <v>0</v>
      </c>
    </row>
    <row r="36" spans="9:13" ht="12.75">
      <c r="I36" s="29"/>
      <c r="J36" s="29"/>
      <c r="K36" s="29"/>
      <c r="L36" s="29"/>
      <c r="M36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Phillips&amp;R&amp;"Copperplate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2006-05-10T04:26:45Z</cp:lastPrinted>
  <dcterms:created xsi:type="dcterms:W3CDTF">2002-01-02T00:23:28Z</dcterms:created>
  <dcterms:modified xsi:type="dcterms:W3CDTF">2017-08-19T13:56:48Z</dcterms:modified>
  <cp:category/>
  <cp:version/>
  <cp:contentType/>
  <cp:contentStatus/>
</cp:coreProperties>
</file>